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foxconsultancy-my.sharepoint.com/personal/info_swift-fox_co_uk/Documents/Documents/Work/2. Client Information/Stansfields/3. Flexi Documents/Body Butters/"/>
    </mc:Choice>
  </mc:AlternateContent>
  <xr:revisionPtr revIDLastSave="2" documentId="8_{70B8991E-7B6A-4B17-9740-ACCB98E58E53}" xr6:coauthVersionLast="47" xr6:coauthVersionMax="47" xr10:uidLastSave="{E3EDD430-CC62-4CD6-9E2F-DCBAF756B48C}"/>
  <bookViews>
    <workbookView xWindow="30285" yWindow="5220" windowWidth="19080" windowHeight="10470" activeTab="1" xr2:uid="{A6E191D6-C8EB-4197-B06F-80C9A2C120C2}"/>
  </bookViews>
  <sheets>
    <sheet name="Weights" sheetId="2" r:id="rId1"/>
    <sheet name="INCI helper" sheetId="4" r:id="rId2"/>
    <sheet name="Bronzer mica" sheetId="15" state="hidden" r:id="rId3"/>
    <sheet name="Bases" sheetId="14" state="hidden" r:id="rId4"/>
    <sheet name="Mica List" sheetId="11" state="hidden" r:id="rId5"/>
    <sheet name="IFRA class 5A" sheetId="13" state="hidden" r:id="rId6"/>
    <sheet name=" BASE" sheetId="12" state="hidden" r:id="rId7"/>
    <sheet name="Glycerin Dyes" sheetId="7" state="hidden" r:id="rId8"/>
    <sheet name="Butters" sheetId="6" state="hidden" r:id="rId9"/>
    <sheet name="Micas" sheetId="5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C24" i="4"/>
  <c r="C23" i="4"/>
  <c r="B48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D72" i="4"/>
  <c r="E65" i="4"/>
  <c r="E64" i="4"/>
  <c r="E63" i="4"/>
  <c r="E61" i="4"/>
  <c r="E62" i="4"/>
  <c r="E60" i="4"/>
  <c r="E59" i="4"/>
  <c r="E58" i="4"/>
  <c r="E27" i="2"/>
  <c r="E28" i="2"/>
  <c r="E29" i="2"/>
  <c r="E30" i="2"/>
  <c r="E31" i="2"/>
  <c r="E32" i="2"/>
  <c r="E33" i="2"/>
  <c r="E34" i="2"/>
  <c r="E35" i="2"/>
  <c r="E26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9" i="2"/>
  <c r="E4" i="2" l="1"/>
  <c r="E5" i="2"/>
  <c r="C25" i="2"/>
  <c r="C24" i="2"/>
  <c r="C23" i="2"/>
  <c r="E24" i="2" s="1"/>
  <c r="E23" i="2" l="1"/>
  <c r="E25" i="2"/>
  <c r="F26" i="4"/>
  <c r="C42" i="2"/>
  <c r="D19" i="2" l="1"/>
  <c r="C42" i="4" s="1"/>
  <c r="D21" i="2"/>
  <c r="C44" i="4" s="1"/>
  <c r="D11" i="2"/>
  <c r="C34" i="4" s="1"/>
  <c r="D20" i="2"/>
  <c r="C43" i="4" s="1"/>
  <c r="D9" i="2"/>
  <c r="C32" i="4" s="1"/>
  <c r="D10" i="2"/>
  <c r="C33" i="4" s="1"/>
  <c r="D22" i="2"/>
  <c r="C45" i="4" s="1"/>
  <c r="D12" i="2"/>
  <c r="C35" i="4" s="1"/>
  <c r="D13" i="2"/>
  <c r="C36" i="4" s="1"/>
  <c r="D15" i="2"/>
  <c r="C38" i="4" s="1"/>
  <c r="D16" i="2"/>
  <c r="C39" i="4" s="1"/>
  <c r="D18" i="2"/>
  <c r="C41" i="4" s="1"/>
  <c r="D14" i="2"/>
  <c r="C37" i="4" s="1"/>
  <c r="D17" i="2"/>
  <c r="C40" i="4" s="1"/>
  <c r="D4" i="2"/>
  <c r="E37" i="2" l="1"/>
  <c r="E38" i="2"/>
  <c r="E39" i="2"/>
  <c r="E40" i="2"/>
  <c r="E41" i="2"/>
  <c r="E6" i="2"/>
  <c r="E36" i="2"/>
  <c r="B50" i="4"/>
  <c r="B51" i="4"/>
  <c r="B52" i="4"/>
  <c r="B53" i="4"/>
  <c r="B54" i="4"/>
  <c r="B55" i="4"/>
  <c r="B56" i="4"/>
  <c r="B57" i="4"/>
  <c r="B49" i="4"/>
  <c r="D41" i="2" l="1"/>
  <c r="D38" i="2"/>
  <c r="D37" i="2"/>
  <c r="D40" i="2"/>
  <c r="D39" i="2"/>
  <c r="D36" i="2"/>
  <c r="D24" i="2" l="1"/>
  <c r="D32" i="2"/>
  <c r="C54" i="4" s="1"/>
  <c r="D25" i="2"/>
  <c r="D33" i="2"/>
  <c r="C55" i="4" s="1"/>
  <c r="D34" i="2"/>
  <c r="C56" i="4" s="1"/>
  <c r="D35" i="2"/>
  <c r="C57" i="4" s="1"/>
  <c r="D31" i="2"/>
  <c r="C53" i="4" s="1"/>
  <c r="D26" i="2"/>
  <c r="C48" i="4" s="1"/>
  <c r="D27" i="2"/>
  <c r="C49" i="4" s="1"/>
  <c r="D28" i="2"/>
  <c r="C50" i="4" s="1"/>
  <c r="D29" i="2"/>
  <c r="C51" i="4" s="1"/>
  <c r="D30" i="2"/>
  <c r="C52" i="4" s="1"/>
  <c r="D5" i="2"/>
  <c r="D6" i="2"/>
  <c r="D3" i="2"/>
  <c r="D23" i="2"/>
  <c r="D2" i="15" l="1"/>
  <c r="F2" i="15" s="1"/>
  <c r="D1" i="15"/>
  <c r="F1" i="15" s="1"/>
  <c r="C21" i="4"/>
  <c r="C9" i="4"/>
  <c r="C13" i="4"/>
  <c r="C20" i="4"/>
  <c r="C8" i="4"/>
  <c r="C19" i="4"/>
  <c r="C7" i="4"/>
  <c r="C10" i="4"/>
  <c r="C18" i="4"/>
  <c r="C6" i="4"/>
  <c r="C17" i="4"/>
  <c r="C5" i="4"/>
  <c r="C16" i="4"/>
  <c r="C4" i="4"/>
  <c r="C15" i="4"/>
  <c r="C3" i="4"/>
  <c r="C14" i="4"/>
  <c r="C2" i="4"/>
  <c r="C12" i="4"/>
  <c r="C11" i="4"/>
  <c r="C22" i="4"/>
  <c r="D6" i="15"/>
  <c r="F6" i="15" s="1"/>
  <c r="D5" i="15"/>
  <c r="F5" i="15" s="1"/>
  <c r="C27" i="4"/>
  <c r="C26" i="4"/>
  <c r="C31" i="4"/>
  <c r="C28" i="4"/>
  <c r="C29" i="4"/>
  <c r="C30" i="4"/>
  <c r="D4" i="15"/>
  <c r="F4" i="15" s="1"/>
  <c r="D3" i="15"/>
  <c r="F3" i="15" s="1"/>
  <c r="C25" i="4"/>
  <c r="D25" i="4" s="1"/>
  <c r="C69" i="4"/>
  <c r="D69" i="4" s="1"/>
  <c r="C59" i="4"/>
  <c r="D59" i="4" s="1"/>
  <c r="C64" i="4"/>
  <c r="D64" i="4" s="1"/>
  <c r="C78" i="4"/>
  <c r="D78" i="4" s="1"/>
  <c r="C66" i="4"/>
  <c r="D66" i="4" s="1"/>
  <c r="C76" i="4"/>
  <c r="D76" i="4" s="1"/>
  <c r="C73" i="4"/>
  <c r="D73" i="4" s="1"/>
  <c r="C63" i="4"/>
  <c r="D63" i="4" s="1"/>
  <c r="C67" i="4"/>
  <c r="D67" i="4" s="1"/>
  <c r="C68" i="4"/>
  <c r="D68" i="4" s="1"/>
  <c r="C58" i="4"/>
  <c r="D58" i="4" s="1"/>
  <c r="C65" i="4"/>
  <c r="D65" i="4" s="1"/>
  <c r="C75" i="4"/>
  <c r="D75" i="4" s="1"/>
  <c r="C61" i="4"/>
  <c r="D61" i="4" s="1"/>
  <c r="C70" i="4"/>
  <c r="D70" i="4" s="1"/>
  <c r="C60" i="4"/>
  <c r="D60" i="4" s="1"/>
  <c r="C62" i="4"/>
  <c r="D62" i="4" s="1"/>
  <c r="C74" i="4"/>
  <c r="D74" i="4" s="1"/>
  <c r="C77" i="4"/>
  <c r="D77" i="4" s="1"/>
  <c r="C71" i="4"/>
  <c r="D71" i="4" s="1"/>
  <c r="C79" i="4"/>
  <c r="C80" i="4"/>
  <c r="D80" i="4" s="1"/>
  <c r="C46" i="4" l="1"/>
  <c r="C47" i="4"/>
  <c r="F79" i="4"/>
  <c r="D79" i="4"/>
  <c r="F62" i="4"/>
  <c r="F65" i="4"/>
  <c r="F73" i="4"/>
  <c r="F60" i="4"/>
  <c r="F80" i="4"/>
  <c r="F66" i="4"/>
  <c r="F69" i="4"/>
  <c r="F75" i="4"/>
  <c r="F68" i="4"/>
  <c r="F67" i="4"/>
  <c r="F58" i="4"/>
  <c r="F74" i="4"/>
  <c r="F70" i="4"/>
  <c r="F61" i="4" l="1"/>
  <c r="F59" i="4"/>
  <c r="F64" i="4"/>
  <c r="F71" i="4"/>
  <c r="F77" i="4"/>
  <c r="F63" i="4"/>
  <c r="F78" i="4"/>
  <c r="F76" i="4"/>
  <c r="B86" i="4" l="1"/>
</calcChain>
</file>

<file path=xl/sharedStrings.xml><?xml version="1.0" encoding="utf-8"?>
<sst xmlns="http://schemas.openxmlformats.org/spreadsheetml/2006/main" count="393" uniqueCount="257">
  <si>
    <t>Maximum Use Level</t>
  </si>
  <si>
    <t>Alpha-Isomethyl Ionone</t>
  </si>
  <si>
    <t>Amyl Cinnamal</t>
  </si>
  <si>
    <t>Amylcinnamyl Alcohol</t>
  </si>
  <si>
    <t>Anise Alcohol</t>
  </si>
  <si>
    <t>Benzyl Alcohol</t>
  </si>
  <si>
    <t>Benzyl Benzoate</t>
  </si>
  <si>
    <t>Benzyl Cinnamate</t>
  </si>
  <si>
    <t>Benzyl Salicylate</t>
  </si>
  <si>
    <t>Cinnamal</t>
  </si>
  <si>
    <t>Cinnamyl Alcohol</t>
  </si>
  <si>
    <t>Citral</t>
  </si>
  <si>
    <t>Citronellol</t>
  </si>
  <si>
    <t>Coumarin</t>
  </si>
  <si>
    <t>Eugenol</t>
  </si>
  <si>
    <t>Farnesol</t>
  </si>
  <si>
    <t>Geraniol</t>
  </si>
  <si>
    <t>Hexyl Cinnamal</t>
  </si>
  <si>
    <t>Hydroxycitronellal</t>
  </si>
  <si>
    <t>Isoeugenol</t>
  </si>
  <si>
    <t>Limonene</t>
  </si>
  <si>
    <t>Linalool</t>
  </si>
  <si>
    <t>Methyl 2-Octynoate</t>
  </si>
  <si>
    <t>Weight (g)</t>
  </si>
  <si>
    <t>Fragrance</t>
  </si>
  <si>
    <t>Parfum</t>
  </si>
  <si>
    <t>INCI</t>
  </si>
  <si>
    <t>INCI Name</t>
  </si>
  <si>
    <t>Mica 1</t>
  </si>
  <si>
    <t>Mica 2</t>
  </si>
  <si>
    <t>Mica 3</t>
  </si>
  <si>
    <t>Gold Mica</t>
  </si>
  <si>
    <t>Black Mica</t>
  </si>
  <si>
    <t>Micas</t>
  </si>
  <si>
    <t>Mica, Tin Oxide, CI 77491, CI 77891,</t>
  </si>
  <si>
    <t>Mica,
CI 77499,
CI 77891,</t>
  </si>
  <si>
    <t>Mica,
CI 16035,
CI 77891,</t>
  </si>
  <si>
    <t>Mica,
CI 16035,
CI 19140,
CI 77891,</t>
  </si>
  <si>
    <t>Mica,
CI 77742,
CI 77891,</t>
  </si>
  <si>
    <t>Mica,
CI 42090,
CI 77891,</t>
  </si>
  <si>
    <t>Mica,
CI 61570,
CI 77891,</t>
  </si>
  <si>
    <t>Total weight (g)</t>
  </si>
  <si>
    <t>Percentage % (w/w)</t>
  </si>
  <si>
    <t>Beautiful Blossoms</t>
  </si>
  <si>
    <t>BEAUTIFUL BLOSSOMS FRAGRANCE 492341</t>
  </si>
  <si>
    <t xml:space="preserve">Black Cherry </t>
  </si>
  <si>
    <t>BLACK CHERRY FRAGRANCE 494145</t>
  </si>
  <si>
    <t>None</t>
  </si>
  <si>
    <t>Hidden Allergens</t>
  </si>
  <si>
    <t>Black Coconut</t>
  </si>
  <si>
    <t>BLACK COCONUT FRAGRANCE 491698</t>
  </si>
  <si>
    <t>Main ingredients</t>
  </si>
  <si>
    <t>Fragrance allergens</t>
  </si>
  <si>
    <t xml:space="preserve">Citrus Zest </t>
  </si>
  <si>
    <t>CITRUS ZEST FRAGRANCE 841471</t>
  </si>
  <si>
    <t>FUNKY FLAMINGO FRAGRANCE 838036</t>
  </si>
  <si>
    <t xml:space="preserve">Funky Flamingo </t>
  </si>
  <si>
    <t>Comments</t>
  </si>
  <si>
    <t>Ice Queen</t>
  </si>
  <si>
    <t>ICE QUEEN FRAGRANCE 485309</t>
  </si>
  <si>
    <t xml:space="preserve">Kreed His </t>
  </si>
  <si>
    <t>KREED HIS FRAGRANCE 834616</t>
  </si>
  <si>
    <t>LOVE POTION FRAGRANCE 804544</t>
  </si>
  <si>
    <t xml:space="preserve">Love Potion </t>
  </si>
  <si>
    <t xml:space="preserve">Rainbow Kiss </t>
  </si>
  <si>
    <t>RAINBOW KISS FRAGRANCE 816199</t>
  </si>
  <si>
    <t>RICH MUSK FRAGRANCE 814911</t>
  </si>
  <si>
    <t xml:space="preserve">Rich Musk </t>
  </si>
  <si>
    <t>SPARKLING DESIRE FRAGRANCE 489066</t>
  </si>
  <si>
    <t xml:space="preserve">Sparkling Desire </t>
  </si>
  <si>
    <t>STRAWBERRY MILKSHAKE FRAGRANCE 806823</t>
  </si>
  <si>
    <t xml:space="preserve">Strawberry Milkshake </t>
  </si>
  <si>
    <t xml:space="preserve">Sweet Cherry </t>
  </si>
  <si>
    <t>SWEET CHERRY FRAGRANCE 812401</t>
  </si>
  <si>
    <t xml:space="preserve">Toasted Marshmallow </t>
  </si>
  <si>
    <t>TOASTED MARSHMALLOW FRAGRANCE 813180</t>
  </si>
  <si>
    <t>WITCHES BREW FRAGRANCE 805266</t>
  </si>
  <si>
    <t xml:space="preserve">Witches Brew </t>
  </si>
  <si>
    <t>Percent (%)</t>
  </si>
  <si>
    <t>Mica 4</t>
  </si>
  <si>
    <t>Mica 5</t>
  </si>
  <si>
    <t>Mica 6</t>
  </si>
  <si>
    <t>Mica 7</t>
  </si>
  <si>
    <t>Mica 8</t>
  </si>
  <si>
    <t>Mica 9</t>
  </si>
  <si>
    <t>Mica 10</t>
  </si>
  <si>
    <t>Bedtime Bath
52957</t>
  </si>
  <si>
    <t>Bedtime Bath</t>
  </si>
  <si>
    <t>Coconut&amp; Shea</t>
  </si>
  <si>
    <t>COCONUT &amp; SHEA FRAGRANCE 491804</t>
  </si>
  <si>
    <t>GOODNIGHT LAVENDER FRAGRANCE 487926</t>
  </si>
  <si>
    <t xml:space="preserve">Goodnight Lavender </t>
  </si>
  <si>
    <t>LAVENDER MARSHMALLOW FRAGRANCE 809803</t>
  </si>
  <si>
    <t>Mango Bliss</t>
  </si>
  <si>
    <t>MANGO BLISS FRAGRANCE 804552</t>
  </si>
  <si>
    <t>Marshmallow &amp; Candyfloss</t>
  </si>
  <si>
    <t>MARSHMALLOW &amp; CANDYFLOSS FRAGRANCE 822068</t>
  </si>
  <si>
    <t>Nag Champa</t>
  </si>
  <si>
    <t>NAG CHAMPA FRAGRANCE 815826</t>
  </si>
  <si>
    <t>Pampering</t>
  </si>
  <si>
    <t>SUNKISSED PEACH FRAGRANCE 822611</t>
  </si>
  <si>
    <t>Sunkissed Peach</t>
  </si>
  <si>
    <t>Butter</t>
  </si>
  <si>
    <t>Shea Butter</t>
  </si>
  <si>
    <t>Mango Butter</t>
  </si>
  <si>
    <t>Avocado Butter</t>
  </si>
  <si>
    <t>Butyrospermum Parkii (Shea) Butter</t>
  </si>
  <si>
    <t>Mangifera Indica (Mango) Seed Butter</t>
  </si>
  <si>
    <t>Snow White Mica</t>
  </si>
  <si>
    <t>Mica,
CI 77891,</t>
  </si>
  <si>
    <t>Candy Mica</t>
  </si>
  <si>
    <t>Mandarin Mica</t>
  </si>
  <si>
    <t>Pretty Pink Mica</t>
  </si>
  <si>
    <t>Flash Blue Mica</t>
  </si>
  <si>
    <t>Spring Green Mica</t>
  </si>
  <si>
    <t>Satin Purple Mica</t>
  </si>
  <si>
    <t>Yellow Mica</t>
  </si>
  <si>
    <t>Mica,                                                                             CI 19140,                                                      CI 61570,                                                      CI 77891</t>
  </si>
  <si>
    <t>Aqua</t>
  </si>
  <si>
    <t>Sodium Chloride</t>
  </si>
  <si>
    <t>Persea Gratissima (Avocado) Oil</t>
  </si>
  <si>
    <t>Hydrogenated Vegetable Oil</t>
  </si>
  <si>
    <t>Tocopherol</t>
  </si>
  <si>
    <t>Allergens (over 0.01%)</t>
  </si>
  <si>
    <t>Bioglitter 1</t>
  </si>
  <si>
    <t>Bioglitter 2</t>
  </si>
  <si>
    <t>Bioglitter 3</t>
  </si>
  <si>
    <t>Bioglitter 4</t>
  </si>
  <si>
    <t>Bioglitter 6</t>
  </si>
  <si>
    <t>Bioglitter 5</t>
  </si>
  <si>
    <t>Phenoxyethanol</t>
  </si>
  <si>
    <t>Theobroma Cacao Seed Butter</t>
  </si>
  <si>
    <t>Cocoa Butter</t>
  </si>
  <si>
    <t>Blush Sand</t>
  </si>
  <si>
    <t>Caring</t>
  </si>
  <si>
    <t>Dewberry</t>
  </si>
  <si>
    <t xml:space="preserve">Kreed Hers </t>
  </si>
  <si>
    <t>Pear Berry</t>
  </si>
  <si>
    <t>Wedding Day</t>
  </si>
  <si>
    <t>Winter Air</t>
  </si>
  <si>
    <t>BLUSH SAND FRAGRANCE 811383</t>
  </si>
  <si>
    <t>BUBBLY AND ROSES FRAGRANCE</t>
  </si>
  <si>
    <t>CARING FRAGRANCE</t>
  </si>
  <si>
    <t>COCONUT AND LAVENDER FRAGRANCE</t>
  </si>
  <si>
    <t>DEWBERRY FRAGRANCE</t>
  </si>
  <si>
    <t>Kreed Hers FRAGRANCE 874511</t>
  </si>
  <si>
    <t xml:space="preserve"> PAMPERING FRAGRANCE 835755</t>
  </si>
  <si>
    <t>PEAR BERRY FRAGRANCE</t>
  </si>
  <si>
    <t>WEDDING DAY FRAGRANCE DEV-50946</t>
  </si>
  <si>
    <t>WINTER AIR FRAGRANCE</t>
  </si>
  <si>
    <t>COUNT</t>
  </si>
  <si>
    <t>Glycerin Colour 1</t>
  </si>
  <si>
    <t>Glycerin Colour 2</t>
  </si>
  <si>
    <t>Glycerin Colour 3</t>
  </si>
  <si>
    <t>Glycerin Colour 4</t>
  </si>
  <si>
    <t>Glycerin Colour 5</t>
  </si>
  <si>
    <t>Glycerin Colour 6</t>
  </si>
  <si>
    <t>Glycerin Colour 7</t>
  </si>
  <si>
    <t>Glycerin Colour 8</t>
  </si>
  <si>
    <t>Glycerin Colour 9</t>
  </si>
  <si>
    <t>Glycerin Colour 10</t>
  </si>
  <si>
    <t>Glycerin Colour 11</t>
  </si>
  <si>
    <t>Glycerin Colour 12</t>
  </si>
  <si>
    <t>Glycerin Colour 13</t>
  </si>
  <si>
    <t>Glycerin Colour 14</t>
  </si>
  <si>
    <t>May contain the following colours at a combined total of up to 0.1%</t>
  </si>
  <si>
    <t>Magenta Glycerin Dye</t>
  </si>
  <si>
    <t>Glycerin, CI 17200</t>
  </si>
  <si>
    <t>Blue Glycerin Dye</t>
  </si>
  <si>
    <t>Glycerin, CI 42090</t>
  </si>
  <si>
    <t>Green Glycerin Dye</t>
  </si>
  <si>
    <t>Glycerin, CI 19140, CI 42090</t>
  </si>
  <si>
    <t>Violet Glycerin Dye</t>
  </si>
  <si>
    <t>Glycerin, CI 17200, CI 42090</t>
  </si>
  <si>
    <t>Lime Green Glycerin Dye</t>
  </si>
  <si>
    <t>Brown Glycerin Dye</t>
  </si>
  <si>
    <t xml:space="preserve">Glycerin, CI 19140, CI 17200, CI 42090 </t>
  </si>
  <si>
    <t>Black Glycerin Dye</t>
  </si>
  <si>
    <t>Coral Glycerin Dye</t>
  </si>
  <si>
    <t>Glycerin, CI 14700</t>
  </si>
  <si>
    <t>Yellow Glycerin Dye</t>
  </si>
  <si>
    <t>Glycerin, CI 19140</t>
  </si>
  <si>
    <t>True Red Glycerin Dye</t>
  </si>
  <si>
    <t>Glycerin, CI 14700, CI 17200</t>
  </si>
  <si>
    <t>Purple Glycerin Dye</t>
  </si>
  <si>
    <t>Teal Glycerin Dye</t>
  </si>
  <si>
    <t>Glycerin, CI 61570</t>
  </si>
  <si>
    <t>Orange Glycerin Dye</t>
  </si>
  <si>
    <t>Glycerin, CI 14700, CI 19140</t>
  </si>
  <si>
    <t>Sage Glycerin Dye</t>
  </si>
  <si>
    <t>Glycerin, CI 17200, CI 19140, CI 42090</t>
  </si>
  <si>
    <t>Glycerin Dyes</t>
  </si>
  <si>
    <t>You may have EITHER standard micas OR bronzer micas OR glycerin dyes. It is not permitted to mix the colour types</t>
  </si>
  <si>
    <t>Satin Bronze Mica</t>
  </si>
  <si>
    <t>Glitter Bronze</t>
  </si>
  <si>
    <t>Sparkle Red Brown</t>
  </si>
  <si>
    <t xml:space="preserve">Colour selection: </t>
  </si>
  <si>
    <t>Mica choice</t>
  </si>
  <si>
    <t>Standard Mica</t>
  </si>
  <si>
    <t>Bronzer mica</t>
  </si>
  <si>
    <t>BODY BUTTER BASE</t>
  </si>
  <si>
    <t>EASY LOTION</t>
  </si>
  <si>
    <t>Blue Skies</t>
  </si>
  <si>
    <t xml:space="preserve">Bubbly and Roses </t>
  </si>
  <si>
    <t>Cherry Vanilla Bliss (IMP)</t>
  </si>
  <si>
    <t>Classic</t>
  </si>
  <si>
    <t>Coconut and Lavender</t>
  </si>
  <si>
    <t>Coconut &amp; Waterfall Blooms</t>
  </si>
  <si>
    <t>Enriching</t>
  </si>
  <si>
    <t>Frosty (WC)</t>
  </si>
  <si>
    <t>Green Apple</t>
  </si>
  <si>
    <t>Japanese Cherry Blossom</t>
  </si>
  <si>
    <t>Lavender marshmallow</t>
  </si>
  <si>
    <t>Orchard Silk</t>
  </si>
  <si>
    <t>Paradise (WC)</t>
  </si>
  <si>
    <t>Passionfruit (BW)</t>
  </si>
  <si>
    <t>Pineapple &amp; Mango</t>
  </si>
  <si>
    <t>Raspberry Sparkle</t>
  </si>
  <si>
    <t>Sugar Plum Fairy</t>
  </si>
  <si>
    <t>Summer Fruits</t>
  </si>
  <si>
    <t>Velvet Sugar</t>
  </si>
  <si>
    <t xml:space="preserve">Watermelon </t>
  </si>
  <si>
    <t>BLUE SKIES FRAGRANCE</t>
  </si>
  <si>
    <t>CHERRY VANILLA BLISS FRAGRANCE</t>
  </si>
  <si>
    <t>CLASSIC FRAGRANCE</t>
  </si>
  <si>
    <t>COCONUT &amp; WATERFALL BLOOMS FRAGRANCE</t>
  </si>
  <si>
    <t>ENRICHING FRAGRANCE</t>
  </si>
  <si>
    <t>FROSTY FRAGRANCE</t>
  </si>
  <si>
    <t>GREEN APPLE FRAGRANCE</t>
  </si>
  <si>
    <t>JAPANESE CHERRY BLOSSOM FRAGRANCE</t>
  </si>
  <si>
    <t>ORCHARD SILK FRAGRANCE</t>
  </si>
  <si>
    <t xml:space="preserve"> PARADISE FRAGRANCE </t>
  </si>
  <si>
    <t>PASSIONFRUIT FRAGRANCE</t>
  </si>
  <si>
    <t>PINEAPPLE &amp; MANGO</t>
  </si>
  <si>
    <t>RASPBERRY SPARKLE FRAGRANCE</t>
  </si>
  <si>
    <t>SUGAR PLUM FAIRY FRAGRANCE</t>
  </si>
  <si>
    <t>SUMMER FRUITS FRAGRANCE</t>
  </si>
  <si>
    <t>VELVET SUGAR FRAGRANCE</t>
  </si>
  <si>
    <t>WATERMELON FRAGRANCE</t>
  </si>
  <si>
    <t>Evernia Prunastri Extract</t>
  </si>
  <si>
    <t>Wheat germ oil</t>
  </si>
  <si>
    <t>Stephensons base</t>
  </si>
  <si>
    <t>Helianthus Annuus Seed Oil</t>
  </si>
  <si>
    <t>Glyceryl Stearate</t>
  </si>
  <si>
    <t>Cetearyl Alcohol</t>
  </si>
  <si>
    <t>Copernicia Cerifera Cera</t>
  </si>
  <si>
    <t>Coco-Glucoside</t>
  </si>
  <si>
    <t>Benzoic Acid</t>
  </si>
  <si>
    <t>Xanthan Gum</t>
  </si>
  <si>
    <t>Dehydroacetic Acid</t>
  </si>
  <si>
    <t>Polysorbate 20</t>
  </si>
  <si>
    <t>Carbomer</t>
  </si>
  <si>
    <t>Potassium Sorbate</t>
  </si>
  <si>
    <t>Mica</t>
  </si>
  <si>
    <t>CI 77491</t>
  </si>
  <si>
    <t>Stansfield’s</t>
  </si>
  <si>
    <t xml:space="preserve">Triticum Vulgare (Wheat) Germ 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</si>
</sst>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sz val="11"/>
      <color theme="1"/>
      <name val="Gill Sans MT"/>
      <family val="2"/>
    </font>
    <font>
      <sz val="12"/>
      <color rgb="FF000000"/>
      <name val="Gill Sans MT"/>
      <family val="2"/>
    </font>
    <font>
      <sz val="12"/>
      <color rgb="FFFF0000"/>
      <name val="Gill Sans MT"/>
      <family val="2"/>
    </font>
    <font>
      <sz val="11"/>
      <color rgb="FF000000"/>
      <name val="Gill Sans MT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Gill Sans MT"/>
      <family val="2"/>
    </font>
    <font>
      <sz val="14"/>
      <color rgb="FFFF0000"/>
      <name val="Gill Sans MT"/>
      <family val="2"/>
    </font>
    <font>
      <sz val="14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14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4" borderId="0" xfId="0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8" borderId="9" xfId="0" applyFont="1" applyFill="1" applyBorder="1" applyAlignment="1">
      <alignment wrapText="1"/>
    </xf>
    <xf numFmtId="164" fontId="7" fillId="8" borderId="10" xfId="0" applyNumberFormat="1" applyFont="1" applyFill="1" applyBorder="1" applyAlignment="1">
      <alignment wrapText="1"/>
    </xf>
    <xf numFmtId="164" fontId="7" fillId="8" borderId="7" xfId="0" applyNumberFormat="1" applyFont="1" applyFill="1" applyBorder="1" applyAlignment="1">
      <alignment wrapText="1"/>
    </xf>
    <xf numFmtId="164" fontId="8" fillId="0" borderId="12" xfId="0" applyNumberFormat="1" applyFont="1" applyBorder="1"/>
    <xf numFmtId="164" fontId="8" fillId="0" borderId="7" xfId="0" applyNumberFormat="1" applyFont="1" applyBorder="1" applyAlignment="1">
      <alignment wrapText="1"/>
    </xf>
    <xf numFmtId="164" fontId="8" fillId="0" borderId="15" xfId="0" applyNumberFormat="1" applyFont="1" applyBorder="1"/>
    <xf numFmtId="0" fontId="11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textRotation="90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164" fontId="8" fillId="0" borderId="0" xfId="0" applyNumberFormat="1" applyFont="1"/>
    <xf numFmtId="164" fontId="8" fillId="0" borderId="0" xfId="0" applyNumberFormat="1" applyFont="1" applyAlignment="1">
      <alignment wrapText="1"/>
    </xf>
    <xf numFmtId="164" fontId="8" fillId="0" borderId="17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textRotation="90"/>
    </xf>
    <xf numFmtId="0" fontId="10" fillId="0" borderId="3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15" fillId="5" borderId="0" xfId="0" applyFont="1" applyFill="1"/>
    <xf numFmtId="0" fontId="15" fillId="0" borderId="0" xfId="0" applyFont="1"/>
    <xf numFmtId="164" fontId="16" fillId="5" borderId="3" xfId="0" applyNumberFormat="1" applyFont="1" applyFill="1" applyBorder="1" applyAlignment="1">
      <alignment horizontal="center" wrapText="1"/>
    </xf>
    <xf numFmtId="0" fontId="15" fillId="5" borderId="1" xfId="0" applyFont="1" applyFill="1" applyBorder="1"/>
    <xf numFmtId="0" fontId="15" fillId="5" borderId="1" xfId="0" applyFont="1" applyFill="1" applyBorder="1" applyAlignment="1" applyProtection="1">
      <alignment wrapText="1"/>
      <protection locked="0"/>
    </xf>
    <xf numFmtId="164" fontId="15" fillId="5" borderId="1" xfId="0" applyNumberFormat="1" applyFont="1" applyFill="1" applyBorder="1"/>
    <xf numFmtId="0" fontId="17" fillId="5" borderId="0" xfId="0" applyFont="1" applyFill="1" applyAlignment="1">
      <alignment vertical="center" wrapText="1"/>
    </xf>
    <xf numFmtId="0" fontId="15" fillId="7" borderId="5" xfId="0" applyFont="1" applyFill="1" applyBorder="1" applyAlignment="1" applyProtection="1">
      <alignment wrapText="1"/>
      <protection locked="0"/>
    </xf>
    <xf numFmtId="0" fontId="15" fillId="5" borderId="3" xfId="0" applyFont="1" applyFill="1" applyBorder="1"/>
    <xf numFmtId="0" fontId="15" fillId="7" borderId="5" xfId="0" applyFont="1" applyFill="1" applyBorder="1" applyProtection="1">
      <protection locked="0"/>
    </xf>
    <xf numFmtId="164" fontId="15" fillId="5" borderId="3" xfId="0" applyNumberFormat="1" applyFont="1" applyFill="1" applyBorder="1"/>
    <xf numFmtId="0" fontId="15" fillId="5" borderId="9" xfId="0" applyFont="1" applyFill="1" applyBorder="1"/>
    <xf numFmtId="0" fontId="15" fillId="7" borderId="24" xfId="0" applyFont="1" applyFill="1" applyBorder="1" applyProtection="1">
      <protection locked="0"/>
    </xf>
    <xf numFmtId="164" fontId="15" fillId="5" borderId="26" xfId="0" applyNumberFormat="1" applyFont="1" applyFill="1" applyBorder="1"/>
    <xf numFmtId="0" fontId="15" fillId="5" borderId="10" xfId="0" applyFont="1" applyFill="1" applyBorder="1"/>
    <xf numFmtId="0" fontId="15" fillId="5" borderId="11" xfId="0" applyFont="1" applyFill="1" applyBorder="1"/>
    <xf numFmtId="0" fontId="15" fillId="5" borderId="12" xfId="0" applyFont="1" applyFill="1" applyBorder="1"/>
    <xf numFmtId="0" fontId="15" fillId="5" borderId="13" xfId="0" applyFont="1" applyFill="1" applyBorder="1"/>
    <xf numFmtId="164" fontId="15" fillId="5" borderId="27" xfId="0" applyNumberFormat="1" applyFont="1" applyFill="1" applyBorder="1"/>
    <xf numFmtId="0" fontId="15" fillId="5" borderId="28" xfId="0" applyFont="1" applyFill="1" applyBorder="1"/>
    <xf numFmtId="0" fontId="18" fillId="5" borderId="0" xfId="0" applyFont="1" applyFill="1" applyAlignment="1">
      <alignment vertical="center" wrapText="1"/>
    </xf>
    <xf numFmtId="0" fontId="15" fillId="7" borderId="1" xfId="0" applyFont="1" applyFill="1" applyBorder="1" applyProtection="1">
      <protection locked="0"/>
    </xf>
    <xf numFmtId="0" fontId="15" fillId="7" borderId="27" xfId="0" applyFont="1" applyFill="1" applyBorder="1" applyProtection="1">
      <protection locked="0"/>
    </xf>
    <xf numFmtId="0" fontId="15" fillId="5" borderId="19" xfId="0" applyFont="1" applyFill="1" applyBorder="1"/>
    <xf numFmtId="0" fontId="15" fillId="7" borderId="19" xfId="0" applyFont="1" applyFill="1" applyBorder="1" applyProtection="1">
      <protection locked="0"/>
    </xf>
    <xf numFmtId="164" fontId="15" fillId="5" borderId="19" xfId="0" applyNumberFormat="1" applyFont="1" applyFill="1" applyBorder="1"/>
    <xf numFmtId="0" fontId="16" fillId="5" borderId="1" xfId="0" applyFont="1" applyFill="1" applyBorder="1"/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15" fillId="0" borderId="0" xfId="0" applyNumberFormat="1" applyFont="1"/>
    <xf numFmtId="2" fontId="15" fillId="5" borderId="0" xfId="0" applyNumberFormat="1" applyFont="1" applyFill="1"/>
    <xf numFmtId="2" fontId="16" fillId="5" borderId="3" xfId="0" applyNumberFormat="1" applyFont="1" applyFill="1" applyBorder="1" applyAlignment="1">
      <alignment horizontal="center" wrapText="1"/>
    </xf>
    <xf numFmtId="2" fontId="15" fillId="5" borderId="1" xfId="0" applyNumberFormat="1" applyFont="1" applyFill="1" applyBorder="1"/>
    <xf numFmtId="2" fontId="15" fillId="6" borderId="3" xfId="0" applyNumberFormat="1" applyFont="1" applyFill="1" applyBorder="1" applyProtection="1">
      <protection locked="0"/>
    </xf>
    <xf numFmtId="2" fontId="15" fillId="6" borderId="1" xfId="0" applyNumberFormat="1" applyFont="1" applyFill="1" applyBorder="1" applyProtection="1">
      <protection locked="0"/>
    </xf>
    <xf numFmtId="2" fontId="15" fillId="6" borderId="25" xfId="0" applyNumberFormat="1" applyFont="1" applyFill="1" applyBorder="1" applyProtection="1">
      <protection locked="0"/>
    </xf>
    <xf numFmtId="2" fontId="15" fillId="6" borderId="27" xfId="0" applyNumberFormat="1" applyFont="1" applyFill="1" applyBorder="1" applyProtection="1">
      <protection locked="0"/>
    </xf>
    <xf numFmtId="2" fontId="15" fillId="6" borderId="26" xfId="0" applyNumberFormat="1" applyFont="1" applyFill="1" applyBorder="1" applyProtection="1">
      <protection locked="0"/>
    </xf>
    <xf numFmtId="2" fontId="15" fillId="6" borderId="4" xfId="0" applyNumberFormat="1" applyFont="1" applyFill="1" applyBorder="1" applyProtection="1">
      <protection locked="0"/>
    </xf>
    <xf numFmtId="2" fontId="16" fillId="5" borderId="1" xfId="0" applyNumberFormat="1" applyFont="1" applyFill="1" applyBorder="1"/>
    <xf numFmtId="164" fontId="2" fillId="0" borderId="0" xfId="0" applyNumberFormat="1" applyFont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2" fillId="3" borderId="7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164" fontId="0" fillId="2" borderId="8" xfId="0" applyNumberFormat="1" applyFill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" fontId="0" fillId="0" borderId="0" xfId="0" applyNumberFormat="1"/>
    <xf numFmtId="2" fontId="6" fillId="3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" fontId="2" fillId="0" borderId="0" xfId="0" applyNumberFormat="1" applyFont="1"/>
    <xf numFmtId="164" fontId="0" fillId="0" borderId="7" xfId="0" applyNumberFormat="1" applyBorder="1" applyAlignment="1">
      <alignment wrapText="1"/>
    </xf>
    <xf numFmtId="164" fontId="1" fillId="0" borderId="7" xfId="0" applyNumberFormat="1" applyFont="1" applyBorder="1"/>
    <xf numFmtId="164" fontId="5" fillId="0" borderId="2" xfId="0" applyNumberFormat="1" applyFont="1" applyBorder="1"/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/>
    <xf numFmtId="0" fontId="2" fillId="0" borderId="7" xfId="0" applyFont="1" applyBorder="1" applyAlignment="1">
      <alignment wrapText="1"/>
    </xf>
    <xf numFmtId="2" fontId="13" fillId="3" borderId="7" xfId="0" applyNumberFormat="1" applyFont="1" applyFill="1" applyBorder="1" applyAlignment="1">
      <alignment wrapText="1"/>
    </xf>
    <xf numFmtId="2" fontId="13" fillId="2" borderId="8" xfId="0" applyNumberFormat="1" applyFont="1" applyFill="1" applyBorder="1"/>
    <xf numFmtId="0" fontId="5" fillId="0" borderId="22" xfId="0" applyFont="1" applyBorder="1"/>
    <xf numFmtId="2" fontId="13" fillId="2" borderId="1" xfId="0" applyNumberFormat="1" applyFont="1" applyFill="1" applyBorder="1"/>
    <xf numFmtId="164" fontId="2" fillId="2" borderId="3" xfId="0" applyNumberFormat="1" applyFont="1" applyFill="1" applyBorder="1"/>
    <xf numFmtId="0" fontId="2" fillId="0" borderId="0" xfId="0" applyFont="1" applyAlignment="1">
      <alignment vertical="center" wrapText="1"/>
    </xf>
    <xf numFmtId="0" fontId="20" fillId="0" borderId="7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164" fontId="5" fillId="0" borderId="7" xfId="0" applyNumberFormat="1" applyFont="1" applyBorder="1"/>
    <xf numFmtId="0" fontId="20" fillId="0" borderId="1" xfId="0" applyFont="1" applyBorder="1"/>
    <xf numFmtId="164" fontId="2" fillId="2" borderId="8" xfId="0" applyNumberFormat="1" applyFont="1" applyFill="1" applyBorder="1"/>
    <xf numFmtId="164" fontId="13" fillId="3" borderId="1" xfId="0" applyNumberFormat="1" applyFont="1" applyFill="1" applyBorder="1" applyAlignment="1">
      <alignment wrapText="1"/>
    </xf>
    <xf numFmtId="164" fontId="13" fillId="2" borderId="3" xfId="0" applyNumberFormat="1" applyFont="1" applyFill="1" applyBorder="1"/>
    <xf numFmtId="164" fontId="13" fillId="2" borderId="1" xfId="0" applyNumberFormat="1" applyFont="1" applyFill="1" applyBorder="1"/>
    <xf numFmtId="0" fontId="2" fillId="0" borderId="0" xfId="0" applyFont="1" applyAlignment="1">
      <alignment wrapText="1"/>
    </xf>
    <xf numFmtId="164" fontId="13" fillId="3" borderId="7" xfId="0" applyNumberFormat="1" applyFont="1" applyFill="1" applyBorder="1" applyAlignment="1">
      <alignment wrapText="1"/>
    </xf>
    <xf numFmtId="164" fontId="13" fillId="2" borderId="8" xfId="0" applyNumberFormat="1" applyFont="1" applyFill="1" applyBorder="1"/>
    <xf numFmtId="0" fontId="5" fillId="0" borderId="7" xfId="0" applyFont="1" applyBorder="1"/>
    <xf numFmtId="164" fontId="5" fillId="0" borderId="22" xfId="0" applyNumberFormat="1" applyFont="1" applyBorder="1"/>
    <xf numFmtId="2" fontId="13" fillId="3" borderId="1" xfId="0" applyNumberFormat="1" applyFont="1" applyFill="1" applyBorder="1" applyAlignment="1">
      <alignment wrapText="1"/>
    </xf>
    <xf numFmtId="2" fontId="13" fillId="2" borderId="3" xfId="0" applyNumberFormat="1" applyFont="1" applyFill="1" applyBorder="1"/>
    <xf numFmtId="0" fontId="5" fillId="0" borderId="1" xfId="0" applyFont="1" applyBorder="1"/>
    <xf numFmtId="0" fontId="20" fillId="0" borderId="7" xfId="0" applyFont="1" applyBorder="1"/>
    <xf numFmtId="0" fontId="5" fillId="0" borderId="0" xfId="0" applyFont="1"/>
    <xf numFmtId="164" fontId="7" fillId="0" borderId="7" xfId="0" applyNumberFormat="1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0" xfId="0" applyFont="1" applyBorder="1" applyAlignment="1">
      <alignment horizontal="right" vertical="center" wrapText="1"/>
    </xf>
    <xf numFmtId="0" fontId="9" fillId="0" borderId="3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wrapText="1"/>
    </xf>
    <xf numFmtId="164" fontId="8" fillId="0" borderId="33" xfId="0" applyNumberFormat="1" applyFont="1" applyBorder="1"/>
    <xf numFmtId="0" fontId="9" fillId="0" borderId="6" xfId="0" applyFont="1" applyBorder="1" applyAlignment="1">
      <alignment vertical="center" wrapText="1"/>
    </xf>
    <xf numFmtId="0" fontId="15" fillId="5" borderId="34" xfId="0" applyFont="1" applyFill="1" applyBorder="1"/>
    <xf numFmtId="0" fontId="15" fillId="5" borderId="14" xfId="0" applyFont="1" applyFill="1" applyBorder="1"/>
    <xf numFmtId="2" fontId="15" fillId="6" borderId="19" xfId="0" applyNumberFormat="1" applyFont="1" applyFill="1" applyBorder="1" applyProtection="1">
      <protection locked="0"/>
    </xf>
    <xf numFmtId="0" fontId="15" fillId="7" borderId="1" xfId="0" applyFont="1" applyFill="1" applyBorder="1"/>
    <xf numFmtId="0" fontId="15" fillId="7" borderId="26" xfId="0" applyFont="1" applyFill="1" applyBorder="1"/>
    <xf numFmtId="0" fontId="15" fillId="7" borderId="27" xfId="0" applyFont="1" applyFill="1" applyBorder="1"/>
    <xf numFmtId="2" fontId="9" fillId="0" borderId="29" xfId="0" applyNumberFormat="1" applyFont="1" applyBorder="1" applyAlignment="1">
      <alignment vertical="center" wrapText="1"/>
    </xf>
    <xf numFmtId="2" fontId="0" fillId="0" borderId="0" xfId="0" applyNumberFormat="1"/>
    <xf numFmtId="0" fontId="21" fillId="0" borderId="0" xfId="0" applyFont="1" applyAlignment="1">
      <alignment horizontal="center" vertical="center" textRotation="90"/>
    </xf>
    <xf numFmtId="0" fontId="14" fillId="5" borderId="5" xfId="0" applyFont="1" applyFill="1" applyBorder="1" applyAlignment="1">
      <alignment horizontal="center" wrapText="1"/>
    </xf>
    <xf numFmtId="0" fontId="14" fillId="5" borderId="23" xfId="0" applyFont="1" applyFill="1" applyBorder="1" applyAlignment="1">
      <alignment horizontal="center" wrapText="1"/>
    </xf>
    <xf numFmtId="0" fontId="14" fillId="5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</cellXfs>
  <cellStyles count="1">
    <cellStyle name="Normal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269394</xdr:colOff>
      <xdr:row>2</xdr:row>
      <xdr:rowOff>192425</xdr:rowOff>
    </xdr:from>
    <xdr:to>
      <xdr:col>15</xdr:col>
      <xdr:colOff>57728</xdr:colOff>
      <xdr:row>44</xdr:row>
      <xdr:rowOff>48877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DF9C34-513F-40BA-9290-BA154A426ABB}"/>
            </a:ext>
          </a:extLst>
        </xdr:cNvPr>
        <xdr:cNvSpPr txBox="1"/>
      </xdr:nvSpPr>
      <xdr:spPr>
        <a:xfrm>
          <a:off x="7514167" y="769698"/>
          <a:ext cx="5849697" cy="78228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use: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Select the base using the dropdown box.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Select the fragrance from the drop down box.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grams fragrance added (Up to 20g).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Select the plant butter using the dropdown box.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Select the colours using the dropdown box.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>
              <a:effectLst/>
            </a:rPr>
            <a:t>6.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grams of the colours used in the blue box. DO NOT MIX </a:t>
          </a:r>
          <a:endParaRPr lang="en-GB">
            <a:effectLst/>
          </a:endParaRPr>
        </a:p>
        <a:p>
          <a:pPr algn="ctr"/>
          <a:r>
            <a:rPr lang="en-GB" b="1">
              <a:effectLst/>
            </a:rPr>
            <a:t>You may have EITHER standard micas OR bronzer micas OR glycerin dyes. It is not permitted to mix the colour type.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Click on the Tab 'INCI Helper'.</a:t>
          </a:r>
          <a:endParaRPr lang="en-GB">
            <a:effectLst/>
          </a:endParaRPr>
        </a:p>
        <a:p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Make sure that you start with 'none' in all your drop down boxes before you start with your selections.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INCI helper on the next tab to help you with your ingredient percentages and allergen levels. Ingredients above 1% must be listed in decending order. Followed by ingredients under 1%. Colours may be placed at the end if you prefer.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Example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Ingredients: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Sodium Bicarbonate,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Citric Acid,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Disodium Lauryl Sulfosuccinate,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Oryza Sativa (Rice) Bran Oil,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Polysorbate 80,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Parfum,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(ingredients under 1% in any order after).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Allergens that are over 0.001% will require placing on the ingredient label.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fragrances allowed up to 2% 20g of fragrance can be used. For fragrances allowed up to 1% 10g of fragrance can be used.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Glycerin dyes at 0.05g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2g ~0.2% standard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micas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6g glitter bronze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8g sparkle red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4g satin bronze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D239-FBAF-462F-9065-6F3B2202F221}">
  <sheetPr codeName="Sheet1"/>
  <dimension ref="A1:L69"/>
  <sheetViews>
    <sheetView showGridLines="0" zoomScale="99" zoomScaleNormal="99" workbookViewId="0">
      <selection activeCell="B6" sqref="B6"/>
    </sheetView>
  </sheetViews>
  <sheetFormatPr defaultRowHeight="18.75" x14ac:dyDescent="0.3"/>
  <cols>
    <col min="1" max="1" width="22.42578125" style="35" bestFit="1" customWidth="1"/>
    <col min="2" max="2" width="28.85546875" style="35" customWidth="1"/>
    <col min="3" max="3" width="12" style="64" bestFit="1" customWidth="1"/>
    <col min="4" max="4" width="11.140625" style="35" bestFit="1" customWidth="1"/>
    <col min="5" max="5" width="39.42578125" style="35" customWidth="1"/>
    <col min="6" max="16384" width="9.140625" style="35"/>
  </cols>
  <sheetData>
    <row r="1" spans="1:12" x14ac:dyDescent="0.3">
      <c r="A1" s="34"/>
      <c r="B1" s="34"/>
      <c r="C1" s="65"/>
      <c r="D1" s="34"/>
      <c r="E1" s="34"/>
      <c r="G1" s="34"/>
      <c r="H1" s="34"/>
      <c r="I1" s="34"/>
      <c r="J1" s="34"/>
      <c r="K1" s="34"/>
      <c r="L1" s="34"/>
    </row>
    <row r="2" spans="1:12" ht="56.25" x14ac:dyDescent="0.3">
      <c r="A2" s="34"/>
      <c r="B2" s="34"/>
      <c r="C2" s="66" t="s">
        <v>23</v>
      </c>
      <c r="D2" s="36" t="s">
        <v>42</v>
      </c>
      <c r="E2" s="34"/>
      <c r="F2" s="34"/>
      <c r="G2" s="34"/>
      <c r="H2" s="34"/>
      <c r="I2" s="34"/>
      <c r="J2" s="34"/>
      <c r="K2" s="34"/>
      <c r="L2" s="34"/>
    </row>
    <row r="3" spans="1:12" ht="21.75" x14ac:dyDescent="0.3">
      <c r="A3" s="37" t="s">
        <v>241</v>
      </c>
      <c r="B3" s="38" t="s">
        <v>200</v>
      </c>
      <c r="C3" s="67">
        <v>1000</v>
      </c>
      <c r="D3" s="39">
        <f>C3/$C$42*100</f>
        <v>91.743119266055047</v>
      </c>
      <c r="E3" s="34"/>
      <c r="F3" s="40"/>
      <c r="G3" s="34"/>
      <c r="H3" s="34"/>
      <c r="I3" s="34"/>
      <c r="J3" s="34"/>
      <c r="K3" s="34"/>
      <c r="L3" s="34"/>
    </row>
    <row r="4" spans="1:12" ht="21.75" x14ac:dyDescent="0.3">
      <c r="A4" s="37" t="s">
        <v>240</v>
      </c>
      <c r="B4" s="41" t="s">
        <v>240</v>
      </c>
      <c r="C4" s="68">
        <v>20</v>
      </c>
      <c r="D4" s="39">
        <f>C4/$C$42*100</f>
        <v>1.834862385321101</v>
      </c>
      <c r="E4" s="37" t="str">
        <f>IF(C4=20,"ACCEPTABLE", "Must be 20g")</f>
        <v>ACCEPTABLE</v>
      </c>
      <c r="F4" s="40"/>
      <c r="G4" s="34"/>
      <c r="H4" s="34"/>
      <c r="I4" s="34"/>
      <c r="J4" s="34"/>
      <c r="K4" s="34"/>
      <c r="L4" s="34"/>
    </row>
    <row r="5" spans="1:12" ht="21.75" x14ac:dyDescent="0.3">
      <c r="A5" s="37" t="s">
        <v>102</v>
      </c>
      <c r="B5" s="41" t="s">
        <v>132</v>
      </c>
      <c r="C5" s="68">
        <v>50</v>
      </c>
      <c r="D5" s="39">
        <f>C5/$C$42*100</f>
        <v>4.5871559633027523</v>
      </c>
      <c r="E5" s="37" t="str">
        <f>IF(C5&gt;50,"DO NOT EXCEED 50g", "ACCEPTABLE")</f>
        <v>ACCEPTABLE</v>
      </c>
      <c r="F5" s="40"/>
      <c r="G5" s="34"/>
      <c r="H5" s="34"/>
      <c r="I5" s="34"/>
      <c r="J5" s="34"/>
      <c r="K5" s="34"/>
      <c r="L5" s="34"/>
    </row>
    <row r="6" spans="1:12" ht="21.75" x14ac:dyDescent="0.3">
      <c r="A6" s="42" t="s">
        <v>24</v>
      </c>
      <c r="B6" s="43" t="s">
        <v>47</v>
      </c>
      <c r="C6" s="68">
        <v>20</v>
      </c>
      <c r="D6" s="44">
        <f>C6/$C$42*100</f>
        <v>1.834862385321101</v>
      </c>
      <c r="E6" s="42" t="str">
        <f>IF(C6&gt;20,"DO NOT EXCEED 20g", "ACCEPTABLE")</f>
        <v>ACCEPTABLE</v>
      </c>
      <c r="F6" s="40"/>
      <c r="G6" s="34"/>
      <c r="H6" s="34"/>
      <c r="I6" s="34"/>
      <c r="J6" s="34"/>
      <c r="K6" s="34"/>
      <c r="L6" s="34"/>
    </row>
    <row r="7" spans="1:12" ht="21.75" x14ac:dyDescent="0.3">
      <c r="A7" s="37" t="s">
        <v>196</v>
      </c>
      <c r="B7" s="55" t="s">
        <v>198</v>
      </c>
      <c r="C7" s="69"/>
      <c r="D7" s="39"/>
      <c r="E7" s="37"/>
      <c r="F7" s="40"/>
      <c r="G7" s="34"/>
      <c r="H7" s="34"/>
      <c r="I7" s="34"/>
      <c r="J7" s="34"/>
      <c r="K7" s="34"/>
      <c r="L7" s="34"/>
    </row>
    <row r="8" spans="1:12" ht="52.5" customHeight="1" thickBot="1" x14ac:dyDescent="0.35">
      <c r="A8" s="145" t="s">
        <v>192</v>
      </c>
      <c r="B8" s="146"/>
      <c r="C8" s="146"/>
      <c r="D8" s="146"/>
      <c r="E8" s="147"/>
      <c r="F8" s="40"/>
      <c r="G8" s="34"/>
      <c r="H8" s="34"/>
      <c r="I8" s="34"/>
      <c r="J8" s="34"/>
      <c r="K8" s="34"/>
      <c r="L8" s="34"/>
    </row>
    <row r="9" spans="1:12" ht="21.75" x14ac:dyDescent="0.3">
      <c r="A9" s="45" t="s">
        <v>151</v>
      </c>
      <c r="B9" s="46" t="s">
        <v>47</v>
      </c>
      <c r="C9" s="70"/>
      <c r="D9" s="47">
        <f t="shared" ref="D9:D41" si="0">C9/$C$42*100</f>
        <v>0</v>
      </c>
      <c r="E9" s="37" t="str">
        <f>IF(SUM($C$9:$C$22)&gt;0.05,"DO NOT EXCEED 0.05g colour in total","ACCEPTABLE")</f>
        <v>ACCEPTABLE</v>
      </c>
      <c r="F9" s="40"/>
      <c r="G9" s="34"/>
      <c r="H9" s="34"/>
      <c r="I9" s="34"/>
      <c r="J9" s="34"/>
      <c r="K9" s="34"/>
      <c r="L9" s="34"/>
    </row>
    <row r="10" spans="1:12" ht="21.75" x14ac:dyDescent="0.3">
      <c r="A10" s="49" t="s">
        <v>152</v>
      </c>
      <c r="B10" s="43" t="s">
        <v>47</v>
      </c>
      <c r="C10" s="68"/>
      <c r="D10" s="39">
        <f t="shared" si="0"/>
        <v>0</v>
      </c>
      <c r="E10" s="37" t="str">
        <f t="shared" ref="E10:E22" si="1">IF(SUM($C$9:$C$22)&gt;0.05,"DO NOT EXCEED 0.05g colour in total","ACCEPTABLE")</f>
        <v>ACCEPTABLE</v>
      </c>
      <c r="F10" s="40"/>
      <c r="G10" s="34"/>
      <c r="H10" s="34"/>
      <c r="I10" s="34"/>
      <c r="J10" s="34"/>
      <c r="K10" s="34"/>
      <c r="L10" s="34"/>
    </row>
    <row r="11" spans="1:12" ht="21.75" x14ac:dyDescent="0.3">
      <c r="A11" s="49" t="s">
        <v>153</v>
      </c>
      <c r="B11" s="43" t="s">
        <v>47</v>
      </c>
      <c r="C11" s="68"/>
      <c r="D11" s="39">
        <f t="shared" si="0"/>
        <v>0</v>
      </c>
      <c r="E11" s="37" t="str">
        <f t="shared" si="1"/>
        <v>ACCEPTABLE</v>
      </c>
      <c r="F11" s="40"/>
      <c r="G11" s="34"/>
      <c r="H11" s="34"/>
      <c r="I11" s="34"/>
      <c r="J11" s="34"/>
      <c r="K11" s="34"/>
      <c r="L11" s="34"/>
    </row>
    <row r="12" spans="1:12" ht="21.75" x14ac:dyDescent="0.3">
      <c r="A12" s="49" t="s">
        <v>154</v>
      </c>
      <c r="B12" s="43" t="s">
        <v>47</v>
      </c>
      <c r="C12" s="68"/>
      <c r="D12" s="39">
        <f t="shared" si="0"/>
        <v>0</v>
      </c>
      <c r="E12" s="37" t="str">
        <f t="shared" si="1"/>
        <v>ACCEPTABLE</v>
      </c>
      <c r="F12" s="40"/>
      <c r="G12" s="34"/>
      <c r="H12" s="34"/>
      <c r="I12" s="34"/>
      <c r="J12" s="34"/>
      <c r="K12" s="34"/>
      <c r="L12" s="34"/>
    </row>
    <row r="13" spans="1:12" ht="21.75" x14ac:dyDescent="0.3">
      <c r="A13" s="49" t="s">
        <v>155</v>
      </c>
      <c r="B13" s="43" t="s">
        <v>47</v>
      </c>
      <c r="C13" s="68"/>
      <c r="D13" s="39">
        <f t="shared" si="0"/>
        <v>0</v>
      </c>
      <c r="E13" s="37" t="str">
        <f t="shared" si="1"/>
        <v>ACCEPTABLE</v>
      </c>
      <c r="F13" s="40"/>
      <c r="G13" s="34"/>
      <c r="H13" s="34"/>
      <c r="I13" s="34"/>
      <c r="J13" s="34"/>
      <c r="K13" s="34"/>
      <c r="L13" s="34"/>
    </row>
    <row r="14" spans="1:12" ht="21.75" x14ac:dyDescent="0.3">
      <c r="A14" s="49" t="s">
        <v>156</v>
      </c>
      <c r="B14" s="43" t="s">
        <v>47</v>
      </c>
      <c r="C14" s="68"/>
      <c r="D14" s="39">
        <f t="shared" si="0"/>
        <v>0</v>
      </c>
      <c r="E14" s="37" t="str">
        <f t="shared" si="1"/>
        <v>ACCEPTABLE</v>
      </c>
      <c r="F14" s="40"/>
      <c r="G14" s="34"/>
      <c r="H14" s="34"/>
      <c r="I14" s="34"/>
      <c r="J14" s="34"/>
      <c r="K14" s="34"/>
      <c r="L14" s="34"/>
    </row>
    <row r="15" spans="1:12" ht="21.75" x14ac:dyDescent="0.3">
      <c r="A15" s="49" t="s">
        <v>157</v>
      </c>
      <c r="B15" s="43" t="s">
        <v>47</v>
      </c>
      <c r="C15" s="68"/>
      <c r="D15" s="39">
        <f t="shared" si="0"/>
        <v>0</v>
      </c>
      <c r="E15" s="37" t="str">
        <f t="shared" si="1"/>
        <v>ACCEPTABLE</v>
      </c>
      <c r="F15" s="40"/>
      <c r="G15" s="34"/>
      <c r="H15" s="34"/>
      <c r="I15" s="34"/>
      <c r="J15" s="34"/>
      <c r="K15" s="34"/>
      <c r="L15" s="34"/>
    </row>
    <row r="16" spans="1:12" ht="21.75" x14ac:dyDescent="0.3">
      <c r="A16" s="49" t="s">
        <v>158</v>
      </c>
      <c r="B16" s="43" t="s">
        <v>47</v>
      </c>
      <c r="C16" s="68"/>
      <c r="D16" s="39">
        <f t="shared" si="0"/>
        <v>0</v>
      </c>
      <c r="E16" s="37" t="str">
        <f t="shared" si="1"/>
        <v>ACCEPTABLE</v>
      </c>
      <c r="F16" s="40"/>
      <c r="G16" s="34"/>
      <c r="H16" s="34"/>
      <c r="I16" s="34"/>
      <c r="J16" s="34"/>
      <c r="K16" s="34"/>
      <c r="L16" s="34"/>
    </row>
    <row r="17" spans="1:12" ht="21.75" x14ac:dyDescent="0.3">
      <c r="A17" s="49" t="s">
        <v>159</v>
      </c>
      <c r="B17" s="43" t="s">
        <v>47</v>
      </c>
      <c r="C17" s="68"/>
      <c r="D17" s="39">
        <f t="shared" si="0"/>
        <v>0</v>
      </c>
      <c r="E17" s="37" t="str">
        <f t="shared" si="1"/>
        <v>ACCEPTABLE</v>
      </c>
      <c r="F17" s="40"/>
      <c r="G17" s="34"/>
      <c r="H17" s="34"/>
      <c r="I17" s="34"/>
      <c r="J17" s="34"/>
      <c r="K17" s="34"/>
      <c r="L17" s="34"/>
    </row>
    <row r="18" spans="1:12" ht="21.75" x14ac:dyDescent="0.3">
      <c r="A18" s="49" t="s">
        <v>160</v>
      </c>
      <c r="B18" s="43" t="s">
        <v>47</v>
      </c>
      <c r="C18" s="68"/>
      <c r="D18" s="39">
        <f t="shared" si="0"/>
        <v>0</v>
      </c>
      <c r="E18" s="37" t="str">
        <f t="shared" si="1"/>
        <v>ACCEPTABLE</v>
      </c>
      <c r="F18" s="40"/>
      <c r="G18" s="34"/>
      <c r="H18" s="34"/>
      <c r="I18" s="34"/>
      <c r="J18" s="34"/>
      <c r="K18" s="34"/>
      <c r="L18" s="34"/>
    </row>
    <row r="19" spans="1:12" ht="21.75" x14ac:dyDescent="0.3">
      <c r="A19" s="49" t="s">
        <v>161</v>
      </c>
      <c r="B19" s="43" t="s">
        <v>47</v>
      </c>
      <c r="C19" s="68"/>
      <c r="D19" s="39">
        <f t="shared" si="0"/>
        <v>0</v>
      </c>
      <c r="E19" s="37" t="str">
        <f t="shared" si="1"/>
        <v>ACCEPTABLE</v>
      </c>
      <c r="F19" s="40"/>
      <c r="G19" s="34"/>
      <c r="H19" s="34"/>
      <c r="I19" s="34"/>
      <c r="J19" s="34"/>
      <c r="K19" s="34"/>
      <c r="L19" s="34"/>
    </row>
    <row r="20" spans="1:12" ht="21.75" x14ac:dyDescent="0.3">
      <c r="A20" s="49" t="s">
        <v>162</v>
      </c>
      <c r="B20" s="43" t="s">
        <v>47</v>
      </c>
      <c r="C20" s="68"/>
      <c r="D20" s="39">
        <f t="shared" si="0"/>
        <v>0</v>
      </c>
      <c r="E20" s="37" t="str">
        <f t="shared" si="1"/>
        <v>ACCEPTABLE</v>
      </c>
      <c r="F20" s="40"/>
      <c r="G20" s="34"/>
      <c r="H20" s="34"/>
      <c r="I20" s="34"/>
      <c r="J20" s="34"/>
      <c r="K20" s="34"/>
      <c r="L20" s="34"/>
    </row>
    <row r="21" spans="1:12" ht="21.75" x14ac:dyDescent="0.3">
      <c r="A21" s="49" t="s">
        <v>163</v>
      </c>
      <c r="B21" s="43" t="s">
        <v>47</v>
      </c>
      <c r="C21" s="68"/>
      <c r="D21" s="39">
        <f t="shared" si="0"/>
        <v>0</v>
      </c>
      <c r="E21" s="37" t="str">
        <f t="shared" si="1"/>
        <v>ACCEPTABLE</v>
      </c>
      <c r="F21" s="40"/>
      <c r="G21" s="34"/>
      <c r="H21" s="34"/>
      <c r="I21" s="34"/>
      <c r="J21" s="34"/>
      <c r="K21" s="34"/>
      <c r="L21" s="34"/>
    </row>
    <row r="22" spans="1:12" ht="22.5" thickBot="1" x14ac:dyDescent="0.35">
      <c r="A22" s="136" t="s">
        <v>164</v>
      </c>
      <c r="B22" s="43" t="s">
        <v>47</v>
      </c>
      <c r="C22" s="68"/>
      <c r="D22" s="44">
        <f t="shared" si="0"/>
        <v>0</v>
      </c>
      <c r="E22" s="42" t="str">
        <f t="shared" si="1"/>
        <v>ACCEPTABLE</v>
      </c>
      <c r="F22" s="40"/>
      <c r="G22" s="34"/>
      <c r="H22" s="34"/>
      <c r="I22" s="34"/>
      <c r="J22" s="34"/>
      <c r="K22" s="34"/>
      <c r="L22" s="34"/>
    </row>
    <row r="23" spans="1:12" ht="21.75" x14ac:dyDescent="0.3">
      <c r="A23" s="45" t="s">
        <v>193</v>
      </c>
      <c r="B23" s="140" t="s">
        <v>193</v>
      </c>
      <c r="C23" s="72">
        <f>IF($B$7="Bronzer mica",4,0)</f>
        <v>0</v>
      </c>
      <c r="D23" s="47">
        <f t="shared" si="0"/>
        <v>0</v>
      </c>
      <c r="E23" s="48" t="str">
        <f>IF(SUM($C$23:$C$25)&gt;18,"DO NOT EXCEED 18g colour in total","ACCEPTABLE")</f>
        <v>ACCEPTABLE</v>
      </c>
      <c r="F23" s="40"/>
      <c r="G23" s="34"/>
      <c r="H23" s="34"/>
      <c r="I23" s="34"/>
      <c r="J23" s="34"/>
      <c r="K23" s="34"/>
      <c r="L23" s="34"/>
    </row>
    <row r="24" spans="1:12" ht="21.75" x14ac:dyDescent="0.3">
      <c r="A24" s="49" t="s">
        <v>194</v>
      </c>
      <c r="B24" s="139" t="s">
        <v>194</v>
      </c>
      <c r="C24" s="69">
        <f>IF($B$7="Bronzer mica",6,0)</f>
        <v>0</v>
      </c>
      <c r="D24" s="39">
        <f t="shared" si="0"/>
        <v>0</v>
      </c>
      <c r="E24" s="50" t="str">
        <f t="shared" ref="E24:E25" si="2">IF(SUM($C$23:$C$25)&gt;18,"DO NOT EXCEED 18g colour in total","ACCEPTABLE")</f>
        <v>ACCEPTABLE</v>
      </c>
      <c r="F24" s="54"/>
      <c r="G24" s="34"/>
      <c r="H24" s="34"/>
      <c r="I24" s="34"/>
      <c r="J24" s="34"/>
      <c r="K24" s="34"/>
      <c r="L24" s="34"/>
    </row>
    <row r="25" spans="1:12" ht="22.5" thickBot="1" x14ac:dyDescent="0.35">
      <c r="A25" s="51" t="s">
        <v>195</v>
      </c>
      <c r="B25" s="141" t="s">
        <v>195</v>
      </c>
      <c r="C25" s="71">
        <f>IF($B$7="Bronzer mica",8,0)</f>
        <v>0</v>
      </c>
      <c r="D25" s="52">
        <f t="shared" si="0"/>
        <v>0</v>
      </c>
      <c r="E25" s="53" t="str">
        <f t="shared" si="2"/>
        <v>ACCEPTABLE</v>
      </c>
      <c r="F25" s="54"/>
      <c r="G25" s="34"/>
      <c r="H25" s="34"/>
      <c r="I25" s="34"/>
      <c r="J25" s="34"/>
      <c r="K25" s="34"/>
      <c r="L25" s="34"/>
    </row>
    <row r="26" spans="1:12" ht="21.75" x14ac:dyDescent="0.3">
      <c r="A26" s="137" t="s">
        <v>28</v>
      </c>
      <c r="B26" s="58" t="s">
        <v>47</v>
      </c>
      <c r="C26" s="138"/>
      <c r="D26" s="59">
        <f t="shared" si="0"/>
        <v>0</v>
      </c>
      <c r="E26" s="57" t="str">
        <f>IF(SUM($C$26:$C$35)&gt;2,"DO NOT EXCEED 2g mica in total","ACCEPTABLE")</f>
        <v>ACCEPTABLE</v>
      </c>
      <c r="F26" s="54"/>
      <c r="G26" s="34"/>
      <c r="H26" s="34"/>
      <c r="I26" s="34"/>
      <c r="J26" s="34"/>
      <c r="K26" s="34"/>
      <c r="L26" s="34"/>
    </row>
    <row r="27" spans="1:12" ht="21.75" x14ac:dyDescent="0.3">
      <c r="A27" s="49" t="s">
        <v>29</v>
      </c>
      <c r="B27" s="55" t="s">
        <v>47</v>
      </c>
      <c r="C27" s="69"/>
      <c r="D27" s="39">
        <f t="shared" si="0"/>
        <v>0</v>
      </c>
      <c r="E27" s="37" t="str">
        <f t="shared" ref="E27:E35" si="3">IF(SUM($C$26:$C$35)&gt;2,"DO NOT EXCEED 2g mica in total","ACCEPTABLE")</f>
        <v>ACCEPTABLE</v>
      </c>
      <c r="F27" s="54"/>
      <c r="G27" s="34"/>
      <c r="H27" s="34"/>
      <c r="I27" s="34"/>
      <c r="J27" s="34"/>
      <c r="K27" s="34"/>
      <c r="L27" s="34"/>
    </row>
    <row r="28" spans="1:12" ht="21.75" x14ac:dyDescent="0.3">
      <c r="A28" s="49" t="s">
        <v>30</v>
      </c>
      <c r="B28" s="55" t="s">
        <v>47</v>
      </c>
      <c r="C28" s="69"/>
      <c r="D28" s="39">
        <f t="shared" si="0"/>
        <v>0</v>
      </c>
      <c r="E28" s="37" t="str">
        <f t="shared" si="3"/>
        <v>ACCEPTABLE</v>
      </c>
      <c r="F28" s="54"/>
      <c r="G28" s="34"/>
      <c r="H28" s="34"/>
      <c r="I28" s="34"/>
      <c r="J28" s="34"/>
      <c r="K28" s="34"/>
      <c r="L28" s="34"/>
    </row>
    <row r="29" spans="1:12" ht="21.75" x14ac:dyDescent="0.3">
      <c r="A29" s="49" t="s">
        <v>79</v>
      </c>
      <c r="B29" s="55" t="s">
        <v>47</v>
      </c>
      <c r="C29" s="69"/>
      <c r="D29" s="39">
        <f t="shared" si="0"/>
        <v>0</v>
      </c>
      <c r="E29" s="37" t="str">
        <f t="shared" si="3"/>
        <v>ACCEPTABLE</v>
      </c>
      <c r="F29" s="54"/>
      <c r="G29" s="34"/>
      <c r="H29" s="34"/>
      <c r="I29" s="34"/>
      <c r="J29" s="34"/>
      <c r="K29" s="34"/>
      <c r="L29" s="34"/>
    </row>
    <row r="30" spans="1:12" ht="21.75" x14ac:dyDescent="0.3">
      <c r="A30" s="49" t="s">
        <v>80</v>
      </c>
      <c r="B30" s="55" t="s">
        <v>47</v>
      </c>
      <c r="C30" s="69"/>
      <c r="D30" s="39">
        <f t="shared" si="0"/>
        <v>0</v>
      </c>
      <c r="E30" s="37" t="str">
        <f t="shared" si="3"/>
        <v>ACCEPTABLE</v>
      </c>
      <c r="F30" s="54"/>
      <c r="G30" s="34"/>
      <c r="H30" s="34"/>
      <c r="I30" s="34"/>
      <c r="J30" s="34"/>
      <c r="K30" s="34"/>
      <c r="L30" s="34"/>
    </row>
    <row r="31" spans="1:12" ht="21.75" x14ac:dyDescent="0.3">
      <c r="A31" s="49" t="s">
        <v>81</v>
      </c>
      <c r="B31" s="55" t="s">
        <v>47</v>
      </c>
      <c r="C31" s="69"/>
      <c r="D31" s="39">
        <f t="shared" si="0"/>
        <v>0</v>
      </c>
      <c r="E31" s="37" t="str">
        <f t="shared" si="3"/>
        <v>ACCEPTABLE</v>
      </c>
      <c r="F31" s="54"/>
      <c r="G31" s="34"/>
      <c r="H31" s="34"/>
      <c r="I31" s="34"/>
      <c r="J31" s="34"/>
      <c r="K31" s="34"/>
      <c r="L31" s="34"/>
    </row>
    <row r="32" spans="1:12" ht="21.75" x14ac:dyDescent="0.3">
      <c r="A32" s="49" t="s">
        <v>82</v>
      </c>
      <c r="B32" s="55" t="s">
        <v>47</v>
      </c>
      <c r="C32" s="69"/>
      <c r="D32" s="39">
        <f t="shared" si="0"/>
        <v>0</v>
      </c>
      <c r="E32" s="37" t="str">
        <f t="shared" si="3"/>
        <v>ACCEPTABLE</v>
      </c>
      <c r="F32" s="54"/>
      <c r="G32" s="34"/>
      <c r="H32" s="34"/>
      <c r="I32" s="34"/>
      <c r="J32" s="34"/>
      <c r="K32" s="34"/>
      <c r="L32" s="34"/>
    </row>
    <row r="33" spans="1:12" ht="21.75" x14ac:dyDescent="0.3">
      <c r="A33" s="49" t="s">
        <v>83</v>
      </c>
      <c r="B33" s="55" t="s">
        <v>47</v>
      </c>
      <c r="C33" s="69"/>
      <c r="D33" s="39">
        <f t="shared" si="0"/>
        <v>0</v>
      </c>
      <c r="E33" s="37" t="str">
        <f t="shared" si="3"/>
        <v>ACCEPTABLE</v>
      </c>
      <c r="F33" s="54"/>
      <c r="G33" s="34"/>
      <c r="H33" s="34"/>
      <c r="I33" s="34"/>
      <c r="J33" s="34"/>
      <c r="K33" s="34"/>
      <c r="L33" s="34"/>
    </row>
    <row r="34" spans="1:12" ht="21.75" x14ac:dyDescent="0.3">
      <c r="A34" s="49" t="s">
        <v>84</v>
      </c>
      <c r="B34" s="55" t="s">
        <v>47</v>
      </c>
      <c r="C34" s="69"/>
      <c r="D34" s="39">
        <f t="shared" si="0"/>
        <v>0</v>
      </c>
      <c r="E34" s="37" t="str">
        <f t="shared" si="3"/>
        <v>ACCEPTABLE</v>
      </c>
      <c r="F34" s="54"/>
      <c r="G34" s="34"/>
      <c r="H34" s="34"/>
      <c r="I34" s="34"/>
      <c r="J34" s="34"/>
      <c r="K34" s="34"/>
      <c r="L34" s="34"/>
    </row>
    <row r="35" spans="1:12" ht="22.5" thickBot="1" x14ac:dyDescent="0.35">
      <c r="A35" s="51" t="s">
        <v>85</v>
      </c>
      <c r="B35" s="56" t="s">
        <v>47</v>
      </c>
      <c r="C35" s="71"/>
      <c r="D35" s="52">
        <f t="shared" si="0"/>
        <v>0</v>
      </c>
      <c r="E35" s="37" t="str">
        <f t="shared" si="3"/>
        <v>ACCEPTABLE</v>
      </c>
      <c r="F35" s="54"/>
      <c r="G35" s="34"/>
      <c r="H35" s="34"/>
      <c r="I35" s="34"/>
      <c r="J35" s="34"/>
      <c r="K35" s="34"/>
      <c r="L35" s="34"/>
    </row>
    <row r="36" spans="1:12" ht="21.75" hidden="1" x14ac:dyDescent="0.3">
      <c r="A36" s="57" t="s">
        <v>124</v>
      </c>
      <c r="B36" s="58" t="s">
        <v>47</v>
      </c>
      <c r="C36" s="73"/>
      <c r="D36" s="59">
        <f t="shared" si="0"/>
        <v>0</v>
      </c>
      <c r="E36" s="57" t="str">
        <f>IF(SUM($C$36:$C$41)&gt;5,"DO NOT EXCEED 5g glitter in total","ACCEPTABLE")</f>
        <v>ACCEPTABLE</v>
      </c>
      <c r="F36" s="54"/>
      <c r="G36" s="34"/>
      <c r="H36" s="34"/>
      <c r="I36" s="34"/>
      <c r="J36" s="34"/>
      <c r="K36" s="34"/>
      <c r="L36" s="34"/>
    </row>
    <row r="37" spans="1:12" ht="21.75" hidden="1" x14ac:dyDescent="0.3">
      <c r="A37" s="37" t="s">
        <v>125</v>
      </c>
      <c r="B37" s="55" t="s">
        <v>47</v>
      </c>
      <c r="C37" s="68"/>
      <c r="D37" s="39">
        <f t="shared" si="0"/>
        <v>0</v>
      </c>
      <c r="E37" s="37" t="str">
        <f t="shared" ref="E37:E41" si="4">IF(SUM($C$36:$C$41)&gt;5,"DO NOT EXCEED 5g glitter in total","ACCEPTABLE")</f>
        <v>ACCEPTABLE</v>
      </c>
      <c r="F37" s="54"/>
      <c r="G37" s="34"/>
      <c r="H37" s="34"/>
      <c r="I37" s="34"/>
      <c r="J37" s="34"/>
      <c r="K37" s="34"/>
      <c r="L37" s="34"/>
    </row>
    <row r="38" spans="1:12" ht="21.75" hidden="1" x14ac:dyDescent="0.3">
      <c r="A38" s="37" t="s">
        <v>126</v>
      </c>
      <c r="B38" s="55" t="s">
        <v>47</v>
      </c>
      <c r="C38" s="68"/>
      <c r="D38" s="39">
        <f t="shared" si="0"/>
        <v>0</v>
      </c>
      <c r="E38" s="37" t="str">
        <f t="shared" si="4"/>
        <v>ACCEPTABLE</v>
      </c>
      <c r="F38" s="54"/>
      <c r="G38" s="34"/>
      <c r="H38" s="34"/>
      <c r="I38" s="34"/>
      <c r="J38" s="34"/>
      <c r="K38" s="34"/>
      <c r="L38" s="34"/>
    </row>
    <row r="39" spans="1:12" ht="21.75" hidden="1" x14ac:dyDescent="0.3">
      <c r="A39" s="37" t="s">
        <v>127</v>
      </c>
      <c r="B39" s="55" t="s">
        <v>47</v>
      </c>
      <c r="C39" s="68"/>
      <c r="D39" s="39">
        <f t="shared" si="0"/>
        <v>0</v>
      </c>
      <c r="E39" s="37" t="str">
        <f t="shared" si="4"/>
        <v>ACCEPTABLE</v>
      </c>
      <c r="F39" s="54"/>
      <c r="G39" s="34"/>
      <c r="H39" s="34"/>
      <c r="I39" s="34"/>
      <c r="J39" s="34"/>
      <c r="K39" s="34"/>
      <c r="L39" s="34"/>
    </row>
    <row r="40" spans="1:12" ht="21.75" hidden="1" x14ac:dyDescent="0.3">
      <c r="A40" s="37" t="s">
        <v>129</v>
      </c>
      <c r="B40" s="55" t="s">
        <v>47</v>
      </c>
      <c r="C40" s="68"/>
      <c r="D40" s="39">
        <f t="shared" si="0"/>
        <v>0</v>
      </c>
      <c r="E40" s="37" t="str">
        <f t="shared" si="4"/>
        <v>ACCEPTABLE</v>
      </c>
      <c r="F40" s="54"/>
      <c r="G40" s="34"/>
      <c r="H40" s="34"/>
      <c r="I40" s="34"/>
      <c r="J40" s="34"/>
      <c r="K40" s="34"/>
      <c r="L40" s="34"/>
    </row>
    <row r="41" spans="1:12" ht="21.75" hidden="1" x14ac:dyDescent="0.3">
      <c r="A41" s="37" t="s">
        <v>128</v>
      </c>
      <c r="B41" s="55" t="s">
        <v>47</v>
      </c>
      <c r="C41" s="68"/>
      <c r="D41" s="39">
        <f t="shared" si="0"/>
        <v>0</v>
      </c>
      <c r="E41" s="37" t="str">
        <f t="shared" si="4"/>
        <v>ACCEPTABLE</v>
      </c>
      <c r="F41" s="54"/>
      <c r="G41" s="34"/>
      <c r="H41" s="34"/>
      <c r="I41" s="34"/>
      <c r="J41" s="34"/>
      <c r="K41" s="34"/>
      <c r="L41" s="34"/>
    </row>
    <row r="42" spans="1:12" ht="21.75" x14ac:dyDescent="0.3">
      <c r="A42" s="34"/>
      <c r="B42" s="60" t="s">
        <v>41</v>
      </c>
      <c r="C42" s="74">
        <f>SUM(C3:C41)</f>
        <v>1090</v>
      </c>
      <c r="D42" s="34"/>
      <c r="E42" s="34"/>
      <c r="F42" s="54"/>
      <c r="G42" s="34"/>
      <c r="H42" s="34"/>
      <c r="I42" s="34"/>
      <c r="J42" s="34"/>
      <c r="K42" s="34"/>
      <c r="L42" s="34"/>
    </row>
    <row r="43" spans="1:12" ht="21.75" x14ac:dyDescent="0.3">
      <c r="A43" s="34"/>
      <c r="B43" s="34"/>
      <c r="C43" s="65"/>
      <c r="D43" s="34"/>
      <c r="E43" s="34"/>
      <c r="F43" s="54"/>
      <c r="G43" s="34"/>
      <c r="H43" s="34"/>
      <c r="I43" s="34"/>
      <c r="J43" s="34"/>
      <c r="K43" s="34"/>
      <c r="L43" s="34"/>
    </row>
    <row r="44" spans="1:12" ht="21.75" x14ac:dyDescent="0.3">
      <c r="A44" s="34"/>
      <c r="B44" s="34"/>
      <c r="C44" s="65"/>
      <c r="D44" s="34"/>
      <c r="E44" s="34"/>
      <c r="F44" s="54"/>
      <c r="G44" s="34"/>
      <c r="H44" s="34"/>
      <c r="I44" s="34"/>
      <c r="J44" s="34"/>
      <c r="K44" s="34"/>
      <c r="L44" s="34"/>
    </row>
    <row r="45" spans="1:12" ht="21.75" x14ac:dyDescent="0.3">
      <c r="F45" s="61"/>
    </row>
    <row r="46" spans="1:12" ht="21.75" x14ac:dyDescent="0.3">
      <c r="F46" s="61"/>
    </row>
    <row r="47" spans="1:12" ht="21.75" x14ac:dyDescent="0.3">
      <c r="F47" s="61"/>
    </row>
    <row r="48" spans="1:12" ht="21.75" x14ac:dyDescent="0.3">
      <c r="F48" s="61"/>
    </row>
    <row r="49" spans="2:6" ht="21.75" x14ac:dyDescent="0.3">
      <c r="F49" s="61"/>
    </row>
    <row r="50" spans="2:6" ht="21.75" x14ac:dyDescent="0.3">
      <c r="F50" s="61"/>
    </row>
    <row r="51" spans="2:6" ht="21.75" x14ac:dyDescent="0.3">
      <c r="F51" s="61"/>
    </row>
    <row r="52" spans="2:6" ht="21.75" x14ac:dyDescent="0.3">
      <c r="F52" s="61"/>
    </row>
    <row r="53" spans="2:6" ht="21.75" x14ac:dyDescent="0.3">
      <c r="F53" s="61"/>
    </row>
    <row r="54" spans="2:6" ht="21.75" x14ac:dyDescent="0.3">
      <c r="F54" s="61"/>
    </row>
    <row r="55" spans="2:6" ht="21.75" x14ac:dyDescent="0.3">
      <c r="F55" s="61"/>
    </row>
    <row r="56" spans="2:6" ht="21.75" x14ac:dyDescent="0.3">
      <c r="F56" s="61"/>
    </row>
    <row r="57" spans="2:6" ht="21.75" x14ac:dyDescent="0.3">
      <c r="F57" s="61"/>
    </row>
    <row r="58" spans="2:6" ht="21.75" x14ac:dyDescent="0.3">
      <c r="B58" s="62"/>
      <c r="F58" s="61"/>
    </row>
    <row r="59" spans="2:6" x14ac:dyDescent="0.3">
      <c r="B59" s="62"/>
    </row>
    <row r="60" spans="2:6" x14ac:dyDescent="0.3">
      <c r="B60" s="62"/>
    </row>
    <row r="61" spans="2:6" x14ac:dyDescent="0.3">
      <c r="B61" s="62"/>
    </row>
    <row r="62" spans="2:6" x14ac:dyDescent="0.3">
      <c r="B62" s="62"/>
    </row>
    <row r="63" spans="2:6" x14ac:dyDescent="0.3">
      <c r="B63" s="62"/>
    </row>
    <row r="64" spans="2:6" x14ac:dyDescent="0.3">
      <c r="B64" s="62"/>
    </row>
    <row r="65" spans="1:2" x14ac:dyDescent="0.3">
      <c r="B65" s="62"/>
    </row>
    <row r="66" spans="1:2" x14ac:dyDescent="0.3">
      <c r="B66" s="62"/>
    </row>
    <row r="67" spans="1:2" x14ac:dyDescent="0.3">
      <c r="B67" s="62"/>
    </row>
    <row r="68" spans="1:2" x14ac:dyDescent="0.3">
      <c r="B68" s="62"/>
    </row>
    <row r="69" spans="1:2" x14ac:dyDescent="0.3">
      <c r="A69" s="63"/>
    </row>
  </sheetData>
  <sheetProtection algorithmName="SHA-512" hashValue="AFgK2ZnC5DLwMjgvx9hww0Sz9X8U89F7eqEjTkpAbzMOzM4jS2SWgupz7X9Gbfes7B5yRCMb78ehciB2h+KDXg==" saltValue="t5meOPmyLC8nr+t0OV6Igw==" spinCount="100000" sheet="1" objects="1" scenarios="1"/>
  <mergeCells count="1">
    <mergeCell ref="A8:E8"/>
  </mergeCells>
  <phoneticPr fontId="4" type="noConversion"/>
  <conditionalFormatting sqref="E6:E7 E9:E41">
    <cfRule type="cellIs" dxfId="18" priority="15" operator="equal">
      <formula>"ACCEPTABLE"</formula>
    </cfRule>
  </conditionalFormatting>
  <conditionalFormatting sqref="E6:E7 E9:E22">
    <cfRule type="cellIs" dxfId="17" priority="14" operator="equal">
      <formula>"DO NOT EXCEED 30g"</formula>
    </cfRule>
  </conditionalFormatting>
  <conditionalFormatting sqref="E9:E25">
    <cfRule type="cellIs" dxfId="16" priority="6" operator="equal">
      <formula>"DO NOT EXCEED 5g colour in total"</formula>
    </cfRule>
    <cfRule type="containsText" dxfId="15" priority="9" operator="containsText" text="DO NOT EXCEED 8g colour in total">
      <formula>NOT(ISERROR(SEARCH("DO NOT EXCEED 8g colour in total",E9)))</formula>
    </cfRule>
    <cfRule type="cellIs" dxfId="14" priority="13" operator="equal">
      <formula>"DO NOT EXCEED 3g colour in total"</formula>
    </cfRule>
  </conditionalFormatting>
  <conditionalFormatting sqref="E26:E41">
    <cfRule type="containsText" dxfId="13" priority="8" operator="containsText" text="DO NOT EXCEED 8g mica in total">
      <formula>NOT(ISERROR(SEARCH("DO NOT EXCEED 8g mica in total",E26)))</formula>
    </cfRule>
    <cfRule type="cellIs" dxfId="12" priority="12" operator="equal">
      <formula>"DO NOT EXCEED 3g mica in total"</formula>
    </cfRule>
  </conditionalFormatting>
  <conditionalFormatting sqref="E4:E5">
    <cfRule type="cellIs" dxfId="11" priority="10" operator="equal">
      <formula>"DO NOT EXCEED 20g"</formula>
    </cfRule>
    <cfRule type="cellIs" dxfId="10" priority="11" operator="equal">
      <formula>"ACCEPTABLE"</formula>
    </cfRule>
  </conditionalFormatting>
  <conditionalFormatting sqref="E36:E41">
    <cfRule type="cellIs" dxfId="9" priority="7" operator="equal">
      <formula>"DO NOT EXCEED 5g glitter in total"</formula>
    </cfRule>
  </conditionalFormatting>
  <conditionalFormatting sqref="E26:E35">
    <cfRule type="cellIs" dxfId="8" priority="5" operator="equal">
      <formula>"DO NOT EXCEED 5g mica in total"</formula>
    </cfRule>
  </conditionalFormatting>
  <dataValidations count="1">
    <dataValidation type="list" allowBlank="1" showInputMessage="1" showErrorMessage="1" sqref="B36:B41" xr:uid="{E656B79A-2BD7-47A5-99C1-47841A934D81}">
      <formula1>#REF!</formula1>
    </dataValidation>
  </dataValidations>
  <pageMargins left="0.7" right="0.7" top="0.75" bottom="0.75" header="0.3" footer="0.3"/>
  <pageSetup paperSize="9" orientation="portrait" r:id="rId1"/>
  <ignoredErrors>
    <ignoredError sqref="E5" formula="1"/>
    <ignoredError sqref="C23:C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B31A1FE-943E-40BE-A7FC-A102E01DC8DA}">
          <x14:formula1>
            <xm:f>Micas!$A$2:$A$13</xm:f>
          </x14:formula1>
          <xm:sqref>B26:B35</xm:sqref>
        </x14:dataValidation>
        <x14:dataValidation type="list" allowBlank="1" showInputMessage="1" showErrorMessage="1" xr:uid="{6CE5B0C2-74DF-419E-9B56-A15D9CD402C8}">
          <x14:formula1>
            <xm:f>'IFRA class 5A'!$B$1:$AZ$1</xm:f>
          </x14:formula1>
          <xm:sqref>B6</xm:sqref>
        </x14:dataValidation>
        <x14:dataValidation type="list" allowBlank="1" showInputMessage="1" showErrorMessage="1" xr:uid="{4DB10E69-8CB2-486F-9213-1C2EC851D243}">
          <x14:formula1>
            <xm:f>Butters!$B$1:$E$1</xm:f>
          </x14:formula1>
          <xm:sqref>B5</xm:sqref>
        </x14:dataValidation>
        <x14:dataValidation type="list" allowBlank="1" showInputMessage="1" showErrorMessage="1" xr:uid="{E46E766C-3A4E-4F8F-94B6-47CF79844D85}">
          <x14:formula1>
            <xm:f>'Glycerin Dyes'!$A$2:$A$16</xm:f>
          </x14:formula1>
          <xm:sqref>B9:B22</xm:sqref>
        </x14:dataValidation>
        <x14:dataValidation type="list" allowBlank="1" showInputMessage="1" showErrorMessage="1" xr:uid="{724D727E-A28C-4456-92D9-181E4CAB29B7}">
          <x14:formula1>
            <xm:f>'Mica List'!$A$2:$A$5</xm:f>
          </x14:formula1>
          <xm:sqref>B7</xm:sqref>
        </x14:dataValidation>
        <x14:dataValidation type="list" allowBlank="1" showInputMessage="1" showErrorMessage="1" xr:uid="{1196FAE3-2984-4546-A840-0CD5D709C507}">
          <x14:formula1>
            <xm:f>' BASE'!$A$1:$A$2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C9C7-D5F9-4866-9501-2809083F1471}">
  <sheetPr codeName="Sheet5"/>
  <dimension ref="A1:B13"/>
  <sheetViews>
    <sheetView topLeftCell="A2" workbookViewId="0">
      <selection activeCell="H19" sqref="H19"/>
    </sheetView>
  </sheetViews>
  <sheetFormatPr defaultRowHeight="15" x14ac:dyDescent="0.25"/>
  <cols>
    <col min="1" max="1" width="15.85546875" bestFit="1" customWidth="1"/>
    <col min="2" max="2" width="32.140625" bestFit="1" customWidth="1"/>
  </cols>
  <sheetData>
    <row r="1" spans="1:2" x14ac:dyDescent="0.25">
      <c r="A1" s="2" t="s">
        <v>33</v>
      </c>
      <c r="B1" s="2" t="s">
        <v>26</v>
      </c>
    </row>
    <row r="2" spans="1:2" x14ac:dyDescent="0.25">
      <c r="A2" s="1" t="s">
        <v>47</v>
      </c>
      <c r="B2" s="1"/>
    </row>
    <row r="3" spans="1:2" ht="30" x14ac:dyDescent="0.25">
      <c r="A3" s="1" t="s">
        <v>108</v>
      </c>
      <c r="B3" s="3" t="s">
        <v>109</v>
      </c>
    </row>
    <row r="4" spans="1:2" x14ac:dyDescent="0.25">
      <c r="A4" s="1" t="s">
        <v>31</v>
      </c>
      <c r="B4" s="1" t="s">
        <v>34</v>
      </c>
    </row>
    <row r="5" spans="1:2" ht="45" x14ac:dyDescent="0.25">
      <c r="A5" s="1" t="s">
        <v>32</v>
      </c>
      <c r="B5" s="3" t="s">
        <v>35</v>
      </c>
    </row>
    <row r="6" spans="1:2" ht="45" x14ac:dyDescent="0.25">
      <c r="A6" s="1" t="s">
        <v>110</v>
      </c>
      <c r="B6" s="3" t="s">
        <v>36</v>
      </c>
    </row>
    <row r="7" spans="1:2" ht="45" x14ac:dyDescent="0.25">
      <c r="A7" s="1" t="s">
        <v>115</v>
      </c>
      <c r="B7" s="3" t="s">
        <v>38</v>
      </c>
    </row>
    <row r="8" spans="1:2" ht="60" x14ac:dyDescent="0.25">
      <c r="A8" s="1" t="s">
        <v>111</v>
      </c>
      <c r="B8" s="3" t="s">
        <v>37</v>
      </c>
    </row>
    <row r="9" spans="1:2" ht="45" x14ac:dyDescent="0.25">
      <c r="A9" s="1" t="s">
        <v>113</v>
      </c>
      <c r="B9" s="3" t="s">
        <v>39</v>
      </c>
    </row>
    <row r="10" spans="1:2" ht="45" x14ac:dyDescent="0.25">
      <c r="A10" s="1" t="s">
        <v>112</v>
      </c>
      <c r="B10" s="3" t="s">
        <v>36</v>
      </c>
    </row>
    <row r="11" spans="1:2" ht="45" x14ac:dyDescent="0.25">
      <c r="A11" s="1" t="s">
        <v>114</v>
      </c>
      <c r="B11" s="3" t="s">
        <v>40</v>
      </c>
    </row>
    <row r="12" spans="1:2" ht="60" x14ac:dyDescent="0.25">
      <c r="A12" s="1" t="s">
        <v>116</v>
      </c>
      <c r="B12" s="3" t="s">
        <v>117</v>
      </c>
    </row>
    <row r="13" spans="1:2" x14ac:dyDescent="0.25">
      <c r="A13" s="1" t="s">
        <v>47</v>
      </c>
      <c r="B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7C24-2881-4312-953B-665EC94E0577}">
  <sheetPr codeName="Sheet2"/>
  <dimension ref="A1:G87"/>
  <sheetViews>
    <sheetView tabSelected="1" topLeftCell="A22" workbookViewId="0">
      <selection activeCell="B32" sqref="B32"/>
    </sheetView>
  </sheetViews>
  <sheetFormatPr defaultRowHeight="19.5" x14ac:dyDescent="0.4"/>
  <cols>
    <col min="1" max="1" width="11" style="19" customWidth="1"/>
    <col min="2" max="2" width="34.140625" style="17" bestFit="1" customWidth="1"/>
    <col min="3" max="3" width="15" style="21" customWidth="1"/>
    <col min="4" max="4" width="30.7109375" style="22" customWidth="1"/>
    <col min="5" max="5" width="18.140625" hidden="1" customWidth="1"/>
    <col min="6" max="6" width="9.85546875" hidden="1" customWidth="1"/>
    <col min="7" max="8" width="9.140625" customWidth="1"/>
  </cols>
  <sheetData>
    <row r="1" spans="1:5" s="4" customFormat="1" x14ac:dyDescent="0.4">
      <c r="A1" s="17"/>
      <c r="B1" s="8" t="s">
        <v>27</v>
      </c>
      <c r="C1" s="9" t="s">
        <v>78</v>
      </c>
      <c r="D1" s="10" t="s">
        <v>57</v>
      </c>
      <c r="E1" s="6" t="s">
        <v>48</v>
      </c>
    </row>
    <row r="2" spans="1:5" s="4" customFormat="1" ht="21.75" x14ac:dyDescent="0.4">
      <c r="A2" s="153" t="s">
        <v>51</v>
      </c>
      <c r="B2" s="124" t="s">
        <v>118</v>
      </c>
      <c r="C2" s="133">
        <f>Weights!$D$3/100*HLOOKUP(Weights!$B$3,Bases!$B$1:$D$22,2,FALSE)</f>
        <v>48.761467889908261</v>
      </c>
      <c r="D2" s="123"/>
      <c r="E2" s="6"/>
    </row>
    <row r="3" spans="1:5" s="4" customFormat="1" ht="21.75" x14ac:dyDescent="0.4">
      <c r="A3" s="153"/>
      <c r="B3" s="124" t="s">
        <v>242</v>
      </c>
      <c r="C3" s="133">
        <f>Weights!$D$3/100*HLOOKUP(Weights!$B$3,Bases!$B$1:$D$22,3,FALSE)</f>
        <v>13.761467889908257</v>
      </c>
      <c r="D3" s="123"/>
      <c r="E3" s="6"/>
    </row>
    <row r="4" spans="1:5" s="4" customFormat="1" ht="43.5" x14ac:dyDescent="0.4">
      <c r="A4" s="153"/>
      <c r="B4" s="124" t="s">
        <v>106</v>
      </c>
      <c r="C4" s="133">
        <f>Weights!$D$3/100*HLOOKUP(Weights!$B$3,Bases!$B$1:$D$22,4,FALSE)</f>
        <v>13.761467889908257</v>
      </c>
      <c r="D4" s="123"/>
      <c r="E4" s="6"/>
    </row>
    <row r="5" spans="1:5" s="4" customFormat="1" ht="21.75" x14ac:dyDescent="0.4">
      <c r="A5" s="153"/>
      <c r="B5" s="124" t="s">
        <v>243</v>
      </c>
      <c r="C5" s="133">
        <f>Weights!$D$3/100*HLOOKUP(Weights!$B$3,Bases!$B$1:$D$22,5,FALSE)</f>
        <v>4.5871559633027523</v>
      </c>
      <c r="D5" s="123"/>
      <c r="E5" s="6"/>
    </row>
    <row r="6" spans="1:5" s="4" customFormat="1" ht="43.5" x14ac:dyDescent="0.4">
      <c r="A6" s="153"/>
      <c r="B6" s="124" t="s">
        <v>131</v>
      </c>
      <c r="C6" s="133">
        <f>Weights!$D$3/100*HLOOKUP(Weights!$B$3,Bases!$B$1:$D$22,6,FALSE)</f>
        <v>2.2935779816513762</v>
      </c>
      <c r="D6" s="123"/>
      <c r="E6" s="6"/>
    </row>
    <row r="7" spans="1:5" s="4" customFormat="1" ht="21.75" x14ac:dyDescent="0.4">
      <c r="A7" s="153"/>
      <c r="B7" s="124" t="s">
        <v>244</v>
      </c>
      <c r="C7" s="133">
        <f>Weights!$D$3/100*HLOOKUP(Weights!$B$3,Bases!$B$1:$D$22,7,FALSE)</f>
        <v>2.2935779816513762</v>
      </c>
      <c r="D7" s="123"/>
      <c r="E7" s="6"/>
    </row>
    <row r="8" spans="1:5" s="4" customFormat="1" ht="21.75" x14ac:dyDescent="0.4">
      <c r="A8" s="153"/>
      <c r="B8" s="124" t="s">
        <v>245</v>
      </c>
      <c r="C8" s="133">
        <f>Weights!$D$3/100*HLOOKUP(Weights!$B$3,Bases!$B$1:$D$22,8,FALSE)</f>
        <v>2.2935779816513762</v>
      </c>
      <c r="D8" s="123"/>
      <c r="E8" s="6"/>
    </row>
    <row r="9" spans="1:5" s="4" customFormat="1" ht="21.75" x14ac:dyDescent="0.4">
      <c r="A9" s="153"/>
      <c r="B9" s="124" t="s">
        <v>246</v>
      </c>
      <c r="C9" s="133">
        <f>Weights!$D$3/100*HLOOKUP(Weights!$B$3,Bases!$B$1:$D$22,9,FALSE)</f>
        <v>2.2935779816513762</v>
      </c>
      <c r="D9" s="123"/>
      <c r="E9" s="6"/>
    </row>
    <row r="10" spans="1:5" s="4" customFormat="1" ht="21.75" x14ac:dyDescent="0.4">
      <c r="A10" s="153"/>
      <c r="B10" s="124" t="s">
        <v>130</v>
      </c>
      <c r="C10" s="133">
        <f>Weights!$D$3/100*HLOOKUP(Weights!$B$3,Bases!$B$1:$D$22,10,FALSE)</f>
        <v>0.91743119266055051</v>
      </c>
      <c r="D10" s="123"/>
      <c r="E10" s="6"/>
    </row>
    <row r="11" spans="1:5" s="4" customFormat="1" ht="21.75" x14ac:dyDescent="0.4">
      <c r="A11" s="153"/>
      <c r="B11" s="124" t="s">
        <v>247</v>
      </c>
      <c r="C11" s="133">
        <f>Weights!$D$3/100*HLOOKUP(Weights!$B$3,Bases!$B$1:$D$22,11,FALSE)</f>
        <v>0.45871559633027525</v>
      </c>
      <c r="D11" s="123"/>
      <c r="E11" s="6"/>
    </row>
    <row r="12" spans="1:5" s="4" customFormat="1" ht="21.75" x14ac:dyDescent="0.4">
      <c r="A12" s="153"/>
      <c r="B12" s="124" t="s">
        <v>248</v>
      </c>
      <c r="C12" s="133">
        <f>Weights!$D$3/100*HLOOKUP(Weights!$B$3,Bases!$B$1:$D$22,12,FALSE)</f>
        <v>0.22935779816513763</v>
      </c>
      <c r="D12" s="123"/>
      <c r="E12" s="6"/>
    </row>
    <row r="13" spans="1:5" s="4" customFormat="1" ht="21.75" x14ac:dyDescent="0.4">
      <c r="A13" s="153"/>
      <c r="B13" s="125" t="s">
        <v>249</v>
      </c>
      <c r="C13" s="133">
        <f>Weights!$D$3/100*HLOOKUP(Weights!$B$3,Bases!$B$1:$D$22,13,FALSE)</f>
        <v>9.1743119266055051E-2</v>
      </c>
      <c r="D13" s="123"/>
      <c r="E13" s="6"/>
    </row>
    <row r="14" spans="1:5" s="4" customFormat="1" ht="21.75" x14ac:dyDescent="0.4">
      <c r="A14" s="153"/>
      <c r="B14" s="124" t="s">
        <v>118</v>
      </c>
      <c r="C14" s="133">
        <f>Weights!$D$3/100*HLOOKUP(Weights!$B$3,Bases!$B$1:$D$22,14,FALSE)</f>
        <v>0</v>
      </c>
      <c r="D14" s="123"/>
      <c r="E14" s="6"/>
    </row>
    <row r="15" spans="1:5" s="4" customFormat="1" ht="21.75" x14ac:dyDescent="0.4">
      <c r="A15" s="153"/>
      <c r="B15" s="124" t="s">
        <v>242</v>
      </c>
      <c r="C15" s="133">
        <f>Weights!$D$3/100*HLOOKUP(Weights!$B$3,Bases!$B$1:$D$22,15,FALSE)</f>
        <v>0</v>
      </c>
      <c r="D15" s="123"/>
      <c r="E15" s="6"/>
    </row>
    <row r="16" spans="1:5" s="4" customFormat="1" ht="21.75" x14ac:dyDescent="0.4">
      <c r="A16" s="153"/>
      <c r="B16" s="124" t="s">
        <v>250</v>
      </c>
      <c r="C16" s="133">
        <f>Weights!$D$3/100*HLOOKUP(Weights!$B$3,Bases!$B$1:$D$22,16,FALSE)</f>
        <v>0</v>
      </c>
      <c r="D16" s="123"/>
      <c r="E16" s="6"/>
    </row>
    <row r="17" spans="1:6" s="4" customFormat="1" ht="21.75" x14ac:dyDescent="0.4">
      <c r="A17" s="153"/>
      <c r="B17" s="124" t="s">
        <v>244</v>
      </c>
      <c r="C17" s="133">
        <f>Weights!$D$3/100*HLOOKUP(Weights!$B$3,Bases!$B$1:$D$22,17,FALSE)</f>
        <v>0</v>
      </c>
      <c r="D17" s="123"/>
      <c r="E17" s="6"/>
    </row>
    <row r="18" spans="1:6" ht="21.75" customHeight="1" x14ac:dyDescent="0.4">
      <c r="A18" s="153"/>
      <c r="B18" s="124" t="s">
        <v>243</v>
      </c>
      <c r="C18" s="133">
        <f>Weights!$D$3/100*HLOOKUP(Weights!$B$3,Bases!$B$1:$D$22,18,FALSE)</f>
        <v>0</v>
      </c>
      <c r="D18" s="12"/>
    </row>
    <row r="19" spans="1:6" ht="21.75" x14ac:dyDescent="0.4">
      <c r="A19" s="153"/>
      <c r="B19" s="124" t="s">
        <v>130</v>
      </c>
      <c r="C19" s="133">
        <f>Weights!$D$3/100*HLOOKUP(Weights!$B$3,Bases!$B$1:$D$22,19,FALSE)</f>
        <v>0</v>
      </c>
      <c r="D19" s="12"/>
    </row>
    <row r="20" spans="1:6" ht="21.75" x14ac:dyDescent="0.4">
      <c r="A20" s="153"/>
      <c r="B20" s="124" t="s">
        <v>251</v>
      </c>
      <c r="C20" s="133">
        <f>Weights!$D$3/100*HLOOKUP(Weights!$B$3,Bases!$B$1:$D$22,20,FALSE)</f>
        <v>0</v>
      </c>
      <c r="D20" s="12"/>
    </row>
    <row r="21" spans="1:6" ht="21.75" x14ac:dyDescent="0.4">
      <c r="A21" s="153"/>
      <c r="B21" s="124" t="s">
        <v>252</v>
      </c>
      <c r="C21" s="133">
        <f>Weights!$D$3/100*HLOOKUP(Weights!$B$3,Bases!$B$1:$D$22,21,FALSE)</f>
        <v>0</v>
      </c>
      <c r="D21" s="12"/>
    </row>
    <row r="22" spans="1:6" ht="21.75" x14ac:dyDescent="0.4">
      <c r="A22" s="153"/>
      <c r="B22" s="124" t="s">
        <v>119</v>
      </c>
      <c r="C22" s="133">
        <f>Weights!$D$3/100*HLOOKUP(Weights!$B$3,Bases!$B$1:$D$22,22,FALSE)</f>
        <v>0</v>
      </c>
      <c r="D22" s="12"/>
    </row>
    <row r="23" spans="1:6" ht="43.5" x14ac:dyDescent="0.4">
      <c r="A23" s="144"/>
      <c r="B23" s="125" t="s">
        <v>256</v>
      </c>
      <c r="C23" s="133">
        <f>Weights!$D$4/100*99.85</f>
        <v>1.8321100917431192</v>
      </c>
      <c r="D23" s="12"/>
    </row>
    <row r="24" spans="1:6" ht="21.75" x14ac:dyDescent="0.4">
      <c r="A24" s="144"/>
      <c r="B24" s="125" t="s">
        <v>122</v>
      </c>
      <c r="C24" s="133">
        <f>Weights!$D$4/100*0.05</f>
        <v>9.1743119266055051E-4</v>
      </c>
      <c r="D24" s="12"/>
    </row>
    <row r="25" spans="1:6" ht="64.5" x14ac:dyDescent="0.4">
      <c r="A25" s="18" t="s">
        <v>24</v>
      </c>
      <c r="B25" s="29" t="s">
        <v>25</v>
      </c>
      <c r="C25" s="11">
        <f>Weights!D6</f>
        <v>1.834862385321101</v>
      </c>
      <c r="D25" s="12" t="str">
        <f>IF(C25&gt;E25,"EXCEEDS RECOMMENDED LEVELS", "ACCEPTABLE")</f>
        <v>ACCEPTABLE</v>
      </c>
      <c r="E25">
        <f>HLOOKUP(Weights!$B$6,'IFRA class 5A'!A1:AZ26,3,FALSE)</f>
        <v>2</v>
      </c>
    </row>
    <row r="26" spans="1:6" ht="44.25" customHeight="1" x14ac:dyDescent="0.4">
      <c r="A26" s="152" t="s">
        <v>102</v>
      </c>
      <c r="B26" s="27" t="s">
        <v>106</v>
      </c>
      <c r="C26" s="11">
        <f>Weights!$D$5/100*HLOOKUP(Weights!$B$5,Butters!$A$1:$F$7,2,FALSE)</f>
        <v>0</v>
      </c>
      <c r="D26" s="12"/>
      <c r="F26" t="e">
        <f>HLOOKUP(Weights!$B$5,Butters!$A$1:$D$6,2,FALSE)</f>
        <v>#N/A</v>
      </c>
    </row>
    <row r="27" spans="1:6" ht="34.5" x14ac:dyDescent="0.4">
      <c r="A27" s="152"/>
      <c r="B27" s="27" t="s">
        <v>107</v>
      </c>
      <c r="C27" s="11">
        <f>Weights!$D$5/100*HLOOKUP(Weights!$B$5,Butters!$A$1:$F$7,3,FALSE)</f>
        <v>0</v>
      </c>
      <c r="D27" s="12"/>
    </row>
    <row r="28" spans="1:6" x14ac:dyDescent="0.4">
      <c r="A28" s="152"/>
      <c r="B28" s="27" t="s">
        <v>120</v>
      </c>
      <c r="C28" s="11">
        <f>Weights!$D$5/100*HLOOKUP(Weights!$B$5,Butters!$A$1:$F$7,4,FALSE)</f>
        <v>0</v>
      </c>
      <c r="D28" s="12"/>
    </row>
    <row r="29" spans="1:6" x14ac:dyDescent="0.4">
      <c r="A29" s="152"/>
      <c r="B29" s="27" t="s">
        <v>121</v>
      </c>
      <c r="C29" s="11">
        <f>Weights!$D$5/100*HLOOKUP(Weights!$B$5,Butters!$A$1:$F$6,5,FALSE)</f>
        <v>0</v>
      </c>
      <c r="D29" s="12"/>
    </row>
    <row r="30" spans="1:6" x14ac:dyDescent="0.4">
      <c r="A30" s="152"/>
      <c r="B30" s="27" t="s">
        <v>122</v>
      </c>
      <c r="C30" s="11">
        <f>Weights!$D$5/100*HLOOKUP(Weights!$B$5,Butters!$A$1:$F$6,6,FALSE)</f>
        <v>0</v>
      </c>
      <c r="D30" s="12"/>
    </row>
    <row r="31" spans="1:6" x14ac:dyDescent="0.4">
      <c r="A31" s="152"/>
      <c r="B31" s="27" t="s">
        <v>131</v>
      </c>
      <c r="C31" s="11">
        <f>Weights!$D$5/100*HLOOKUP(Weights!$B$5,Butters!$A$1:$F$7,7,FALSE)</f>
        <v>4.5871559633027523</v>
      </c>
      <c r="D31" s="12"/>
    </row>
    <row r="32" spans="1:6" ht="19.5" customHeight="1" x14ac:dyDescent="0.4">
      <c r="A32" s="154" t="s">
        <v>191</v>
      </c>
      <c r="B32" s="33" t="s">
        <v>167</v>
      </c>
      <c r="C32" s="11">
        <f>Weights!D9</f>
        <v>0</v>
      </c>
      <c r="D32" s="12"/>
    </row>
    <row r="33" spans="1:4" x14ac:dyDescent="0.4">
      <c r="A33" s="152"/>
      <c r="B33" s="33" t="s">
        <v>169</v>
      </c>
      <c r="C33" s="11">
        <f>Weights!D10</f>
        <v>0</v>
      </c>
      <c r="D33" s="12"/>
    </row>
    <row r="34" spans="1:4" x14ac:dyDescent="0.4">
      <c r="A34" s="152"/>
      <c r="B34" s="33" t="s">
        <v>171</v>
      </c>
      <c r="C34" s="11">
        <f>Weights!D11</f>
        <v>0</v>
      </c>
      <c r="D34" s="12"/>
    </row>
    <row r="35" spans="1:4" x14ac:dyDescent="0.4">
      <c r="A35" s="152"/>
      <c r="B35" s="33" t="s">
        <v>173</v>
      </c>
      <c r="C35" s="11">
        <f>Weights!D12</f>
        <v>0</v>
      </c>
      <c r="D35" s="12"/>
    </row>
    <row r="36" spans="1:4" x14ac:dyDescent="0.4">
      <c r="A36" s="152"/>
      <c r="B36" s="33" t="s">
        <v>171</v>
      </c>
      <c r="C36" s="11">
        <f>Weights!D13</f>
        <v>0</v>
      </c>
      <c r="D36" s="12"/>
    </row>
    <row r="37" spans="1:4" ht="34.5" x14ac:dyDescent="0.4">
      <c r="A37" s="152"/>
      <c r="B37" s="33" t="s">
        <v>176</v>
      </c>
      <c r="C37" s="11">
        <f>Weights!D14</f>
        <v>0</v>
      </c>
      <c r="D37" s="12"/>
    </row>
    <row r="38" spans="1:4" ht="34.5" x14ac:dyDescent="0.4">
      <c r="A38" s="152"/>
      <c r="B38" s="33" t="s">
        <v>176</v>
      </c>
      <c r="C38" s="11">
        <f>Weights!D15</f>
        <v>0</v>
      </c>
      <c r="D38" s="12"/>
    </row>
    <row r="39" spans="1:4" x14ac:dyDescent="0.4">
      <c r="A39" s="152"/>
      <c r="B39" s="33" t="s">
        <v>179</v>
      </c>
      <c r="C39" s="11">
        <f>Weights!D16</f>
        <v>0</v>
      </c>
      <c r="D39" s="12"/>
    </row>
    <row r="40" spans="1:4" x14ac:dyDescent="0.4">
      <c r="A40" s="152"/>
      <c r="B40" s="33" t="s">
        <v>181</v>
      </c>
      <c r="C40" s="11">
        <f>Weights!D17</f>
        <v>0</v>
      </c>
      <c r="D40" s="12"/>
    </row>
    <row r="41" spans="1:4" x14ac:dyDescent="0.4">
      <c r="A41" s="152"/>
      <c r="B41" s="33" t="s">
        <v>183</v>
      </c>
      <c r="C41" s="11">
        <f>Weights!D18</f>
        <v>0</v>
      </c>
      <c r="D41" s="12"/>
    </row>
    <row r="42" spans="1:4" x14ac:dyDescent="0.4">
      <c r="A42" s="152"/>
      <c r="B42" s="33" t="s">
        <v>173</v>
      </c>
      <c r="C42" s="11">
        <f>Weights!D19</f>
        <v>0</v>
      </c>
      <c r="D42" s="12"/>
    </row>
    <row r="43" spans="1:4" x14ac:dyDescent="0.4">
      <c r="A43" s="152"/>
      <c r="B43" s="33" t="s">
        <v>186</v>
      </c>
      <c r="C43" s="11">
        <f>Weights!D20</f>
        <v>0</v>
      </c>
      <c r="D43" s="12"/>
    </row>
    <row r="44" spans="1:4" x14ac:dyDescent="0.4">
      <c r="A44" s="152"/>
      <c r="B44" s="33" t="s">
        <v>188</v>
      </c>
      <c r="C44" s="11">
        <f>Weights!D21</f>
        <v>0</v>
      </c>
      <c r="D44" s="12"/>
    </row>
    <row r="45" spans="1:4" ht="34.5" x14ac:dyDescent="0.4">
      <c r="A45" s="155"/>
      <c r="B45" s="135" t="s">
        <v>190</v>
      </c>
      <c r="C45" s="11">
        <f>Weights!D22</f>
        <v>0</v>
      </c>
      <c r="D45" s="12"/>
    </row>
    <row r="46" spans="1:4" ht="30" customHeight="1" x14ac:dyDescent="0.4">
      <c r="A46" s="149" t="s">
        <v>199</v>
      </c>
      <c r="B46" s="27" t="s">
        <v>253</v>
      </c>
      <c r="C46" s="134">
        <f>SUM('Bronzer mica'!F1+'Bronzer mica'!F3+'Bronzer mica'!F5)</f>
        <v>0</v>
      </c>
      <c r="D46" s="12"/>
    </row>
    <row r="47" spans="1:4" ht="30" customHeight="1" x14ac:dyDescent="0.4">
      <c r="A47" s="150"/>
      <c r="B47" s="27" t="s">
        <v>254</v>
      </c>
      <c r="C47" s="134">
        <f>'Bronzer mica'!F2+'Bronzer mica'!F4+'Bronzer mica'!F6</f>
        <v>0</v>
      </c>
      <c r="D47" s="12"/>
    </row>
    <row r="48" spans="1:4" x14ac:dyDescent="0.4">
      <c r="A48" s="148" t="s">
        <v>33</v>
      </c>
      <c r="B48" s="24" t="str">
        <f>IF(Weights!B26="None","",VLOOKUP(Weights!B26,Micas!A1:B13,2,FALSE))</f>
        <v/>
      </c>
      <c r="C48" s="11">
        <f>Weights!D26</f>
        <v>0</v>
      </c>
      <c r="D48" s="12"/>
    </row>
    <row r="49" spans="1:6" ht="30.75" customHeight="1" x14ac:dyDescent="0.4">
      <c r="A49" s="148"/>
      <c r="B49" s="24" t="str">
        <f>IF(Weights!B27="None","",VLOOKUP(Weights!B27,Micas!A2:B14,2,FALSE))</f>
        <v/>
      </c>
      <c r="C49" s="11">
        <f>Weights!D27</f>
        <v>0</v>
      </c>
      <c r="D49" s="12"/>
    </row>
    <row r="50" spans="1:6" ht="30" customHeight="1" x14ac:dyDescent="0.4">
      <c r="A50" s="148"/>
      <c r="B50" s="24" t="str">
        <f>IF(Weights!B28="None","",VLOOKUP(Weights!B28,Micas!A3:B15,2,FALSE))</f>
        <v/>
      </c>
      <c r="C50" s="11">
        <f>Weights!D28</f>
        <v>0</v>
      </c>
      <c r="D50" s="12"/>
    </row>
    <row r="51" spans="1:6" ht="32.25" customHeight="1" x14ac:dyDescent="0.4">
      <c r="A51" s="148"/>
      <c r="B51" s="24" t="str">
        <f>IF(Weights!B29="None","",VLOOKUP(Weights!B29,Micas!A4:B16,2,FALSE))</f>
        <v/>
      </c>
      <c r="C51" s="11">
        <f>Weights!D29</f>
        <v>0</v>
      </c>
      <c r="D51" s="12"/>
    </row>
    <row r="52" spans="1:6" ht="34.5" customHeight="1" x14ac:dyDescent="0.4">
      <c r="A52" s="148"/>
      <c r="B52" s="24" t="str">
        <f>IF(Weights!B30="None","",VLOOKUP(Weights!B30,Micas!A5:B17,2,FALSE))</f>
        <v/>
      </c>
      <c r="C52" s="11">
        <f>Weights!D30</f>
        <v>0</v>
      </c>
      <c r="D52" s="12"/>
    </row>
    <row r="53" spans="1:6" ht="28.5" customHeight="1" x14ac:dyDescent="0.4">
      <c r="A53" s="148"/>
      <c r="B53" s="24" t="str">
        <f>IF(Weights!B31="None","",VLOOKUP(Weights!B31,Micas!A6:B18,2,FALSE))</f>
        <v/>
      </c>
      <c r="C53" s="11">
        <f>Weights!D31</f>
        <v>0</v>
      </c>
      <c r="D53" s="12"/>
    </row>
    <row r="54" spans="1:6" ht="33" customHeight="1" x14ac:dyDescent="0.4">
      <c r="A54" s="148"/>
      <c r="B54" s="24" t="str">
        <f>IF(Weights!B32="None","",VLOOKUP(Weights!B32,Micas!A7:B19,2,FALSE))</f>
        <v/>
      </c>
      <c r="C54" s="11">
        <f>Weights!D32</f>
        <v>0</v>
      </c>
      <c r="D54" s="12"/>
    </row>
    <row r="55" spans="1:6" ht="31.5" customHeight="1" x14ac:dyDescent="0.4">
      <c r="A55" s="148"/>
      <c r="B55" s="24" t="str">
        <f>IF(Weights!B33="None","",VLOOKUP(Weights!B33,Micas!A8:B20,2,FALSE))</f>
        <v/>
      </c>
      <c r="C55" s="11">
        <f>Weights!D33</f>
        <v>0</v>
      </c>
      <c r="D55" s="12"/>
    </row>
    <row r="56" spans="1:6" ht="25.5" customHeight="1" x14ac:dyDescent="0.4">
      <c r="A56" s="148"/>
      <c r="B56" s="24" t="str">
        <f>IF(Weights!B34="None","",VLOOKUP(Weights!B34,Micas!A9:B21,2,FALSE))</f>
        <v/>
      </c>
      <c r="C56" s="11">
        <f>Weights!D34</f>
        <v>0</v>
      </c>
      <c r="D56" s="12"/>
    </row>
    <row r="57" spans="1:6" ht="30.75" customHeight="1" x14ac:dyDescent="0.4">
      <c r="A57" s="148"/>
      <c r="B57" s="24" t="str">
        <f>IF(Weights!B35="None","",VLOOKUP(Weights!B35,Micas!A10:B22,2,FALSE))</f>
        <v/>
      </c>
      <c r="C57" s="11">
        <f>Weights!D35</f>
        <v>0</v>
      </c>
      <c r="D57" s="12"/>
    </row>
    <row r="58" spans="1:6" x14ac:dyDescent="0.4">
      <c r="A58" s="151" t="s">
        <v>52</v>
      </c>
      <c r="B58" s="14" t="s">
        <v>1</v>
      </c>
      <c r="C58" s="13">
        <f>Weights!$D$6/100*E58</f>
        <v>0</v>
      </c>
      <c r="D58" s="23" t="str">
        <f>IF(C58&gt;0.001,"EXCEEDS 0.001%", " ")</f>
        <v xml:space="preserve"> </v>
      </c>
      <c r="E58">
        <f>HLOOKUP(Weights!$B$6,'IFRA class 5A'!$A$1:$AZ$27,4,FALSE)</f>
        <v>0</v>
      </c>
      <c r="F58" t="str">
        <f>IF(C58&gt;=0.01,"Alpha-Isomethyl Ionone","")</f>
        <v/>
      </c>
    </row>
    <row r="59" spans="1:6" x14ac:dyDescent="0.4">
      <c r="A59" s="151"/>
      <c r="B59" s="15" t="s">
        <v>2</v>
      </c>
      <c r="C59" s="13">
        <f>Weights!$D$6/100*E59</f>
        <v>0</v>
      </c>
      <c r="D59" s="23" t="str">
        <f t="shared" ref="D59:D80" si="0">IF(C59&gt;0.001,"EXCEEDS 0.001%", " ")</f>
        <v xml:space="preserve"> </v>
      </c>
      <c r="E59">
        <f>HLOOKUP(Weights!$B$6,'IFRA class 5A'!$A$1:$AZ$27,5,FALSE)</f>
        <v>0</v>
      </c>
      <c r="F59" t="str">
        <f>IF(C59&gt;=0.01,"Amyl Cinnamal","")</f>
        <v/>
      </c>
    </row>
    <row r="60" spans="1:6" x14ac:dyDescent="0.4">
      <c r="A60" s="151"/>
      <c r="B60" s="15" t="s">
        <v>3</v>
      </c>
      <c r="C60" s="13">
        <f>Weights!$D$6/100*E60</f>
        <v>0</v>
      </c>
      <c r="D60" s="23" t="str">
        <f t="shared" si="0"/>
        <v xml:space="preserve"> </v>
      </c>
      <c r="E60">
        <f>HLOOKUP(Weights!$B$6,'IFRA class 5A'!$A$1:$AZ$27,6,FALSE)</f>
        <v>0</v>
      </c>
      <c r="F60" t="str">
        <f>IF(C60&gt;=0.01,"Amylcinnamyl Alcohol","")</f>
        <v/>
      </c>
    </row>
    <row r="61" spans="1:6" x14ac:dyDescent="0.4">
      <c r="A61" s="151"/>
      <c r="B61" s="15" t="s">
        <v>4</v>
      </c>
      <c r="C61" s="13">
        <f>Weights!$D$6/100*E61</f>
        <v>0</v>
      </c>
      <c r="D61" s="23" t="str">
        <f t="shared" si="0"/>
        <v xml:space="preserve"> </v>
      </c>
      <c r="E61">
        <f>HLOOKUP(Weights!$B$6,'IFRA class 5A'!$A$1:$AZ$27,7,FALSE)</f>
        <v>0</v>
      </c>
      <c r="F61" t="str">
        <f>IF(C61&gt;=0.01,"Anise Alcohol","")</f>
        <v/>
      </c>
    </row>
    <row r="62" spans="1:6" x14ac:dyDescent="0.4">
      <c r="A62" s="151"/>
      <c r="B62" s="15" t="s">
        <v>5</v>
      </c>
      <c r="C62" s="13">
        <f>Weights!$D$6/100*E62</f>
        <v>0</v>
      </c>
      <c r="D62" s="23" t="str">
        <f t="shared" si="0"/>
        <v xml:space="preserve"> </v>
      </c>
      <c r="E62">
        <f>HLOOKUP(Weights!$B$6,'IFRA class 5A'!$A$1:$AZ$27,8,FALSE)</f>
        <v>0</v>
      </c>
      <c r="F62" t="str">
        <f>IF(C62&gt;=0.01,"Benzyl Alcohol","")</f>
        <v/>
      </c>
    </row>
    <row r="63" spans="1:6" x14ac:dyDescent="0.4">
      <c r="A63" s="151"/>
      <c r="B63" s="15" t="s">
        <v>6</v>
      </c>
      <c r="C63" s="13">
        <f>Weights!$D$6/100*E63</f>
        <v>0</v>
      </c>
      <c r="D63" s="23" t="str">
        <f t="shared" si="0"/>
        <v xml:space="preserve"> </v>
      </c>
      <c r="E63">
        <f>HLOOKUP(Weights!$B$6,'IFRA class 5A'!$A$1:$AZ$27,9,FALSE)</f>
        <v>0</v>
      </c>
      <c r="F63" t="str">
        <f>IF(C63&gt;=0.01,"Benzyl Benzoate","")</f>
        <v/>
      </c>
    </row>
    <row r="64" spans="1:6" x14ac:dyDescent="0.4">
      <c r="A64" s="151"/>
      <c r="B64" s="15" t="s">
        <v>7</v>
      </c>
      <c r="C64" s="13">
        <f>Weights!$D$6/100*E64</f>
        <v>0</v>
      </c>
      <c r="D64" s="23" t="str">
        <f t="shared" si="0"/>
        <v xml:space="preserve"> </v>
      </c>
      <c r="E64">
        <f>HLOOKUP(Weights!$B$6,'IFRA class 5A'!$A$1:$AZ$27,10,FALSE)</f>
        <v>0</v>
      </c>
      <c r="F64" t="str">
        <f>IF(C64&gt;=0.01,"Benzyl Cinnamate","")</f>
        <v/>
      </c>
    </row>
    <row r="65" spans="1:7" x14ac:dyDescent="0.4">
      <c r="A65" s="151"/>
      <c r="B65" s="15" t="s">
        <v>8</v>
      </c>
      <c r="C65" s="13">
        <f>Weights!$D$6/100*E65</f>
        <v>0</v>
      </c>
      <c r="D65" s="23" t="str">
        <f t="shared" si="0"/>
        <v xml:space="preserve"> </v>
      </c>
      <c r="E65">
        <f>HLOOKUP(Weights!$B$6,'IFRA class 5A'!$A$1:$AZ$27,11,FALSE)</f>
        <v>0</v>
      </c>
      <c r="F65" t="str">
        <f>IF(C65&gt;=0.01,"Benzyl Salicylate","")</f>
        <v/>
      </c>
    </row>
    <row r="66" spans="1:7" x14ac:dyDescent="0.4">
      <c r="A66" s="151"/>
      <c r="B66" s="15" t="s">
        <v>9</v>
      </c>
      <c r="C66" s="13">
        <f>Weights!$D$6/100*E66</f>
        <v>0</v>
      </c>
      <c r="D66" s="23" t="str">
        <f t="shared" si="0"/>
        <v xml:space="preserve"> </v>
      </c>
      <c r="E66">
        <f>HLOOKUP(Weights!$B$6,'IFRA class 5A'!$A$1:$AZ$27,12,FALSE)</f>
        <v>0</v>
      </c>
      <c r="F66" t="str">
        <f>IF(C66&gt;=0.01,"Cinnamal","")</f>
        <v/>
      </c>
    </row>
    <row r="67" spans="1:7" x14ac:dyDescent="0.4">
      <c r="A67" s="151"/>
      <c r="B67" s="15" t="s">
        <v>10</v>
      </c>
      <c r="C67" s="13">
        <f>Weights!$D$6/100*E67</f>
        <v>0</v>
      </c>
      <c r="D67" s="23" t="str">
        <f t="shared" si="0"/>
        <v xml:space="preserve"> </v>
      </c>
      <c r="E67">
        <f>HLOOKUP(Weights!$B$6,'IFRA class 5A'!$A$1:$AZ$27,13,FALSE)</f>
        <v>0</v>
      </c>
      <c r="F67" t="str">
        <f>IF(C67&gt;=0.01,"Cinnamyl Alcohol","")</f>
        <v/>
      </c>
    </row>
    <row r="68" spans="1:7" x14ac:dyDescent="0.4">
      <c r="A68" s="151"/>
      <c r="B68" s="15" t="s">
        <v>11</v>
      </c>
      <c r="C68" s="13">
        <f>Weights!$D$6/100*E68</f>
        <v>0</v>
      </c>
      <c r="D68" s="23" t="str">
        <f t="shared" si="0"/>
        <v xml:space="preserve"> </v>
      </c>
      <c r="E68">
        <f>HLOOKUP(Weights!$B$6,'IFRA class 5A'!$A$1:$AZ$27,14,FALSE)</f>
        <v>0</v>
      </c>
      <c r="F68" t="str">
        <f>IF(C68&gt;=0.01,"Citral","")</f>
        <v/>
      </c>
    </row>
    <row r="69" spans="1:7" x14ac:dyDescent="0.4">
      <c r="A69" s="151"/>
      <c r="B69" s="15" t="s">
        <v>12</v>
      </c>
      <c r="C69" s="13">
        <f>Weights!$D$6/100*E69</f>
        <v>0</v>
      </c>
      <c r="D69" s="23" t="str">
        <f t="shared" si="0"/>
        <v xml:space="preserve"> </v>
      </c>
      <c r="E69">
        <f>HLOOKUP(Weights!$B$6,'IFRA class 5A'!$A$1:$AZ$27,15,FALSE)</f>
        <v>0</v>
      </c>
      <c r="F69" t="str">
        <f>IF(C69&gt;=0.01,"Citronellol","")</f>
        <v/>
      </c>
    </row>
    <row r="70" spans="1:7" x14ac:dyDescent="0.4">
      <c r="A70" s="151"/>
      <c r="B70" s="15" t="s">
        <v>13</v>
      </c>
      <c r="C70" s="13">
        <f>Weights!$D$6/100*E70</f>
        <v>0</v>
      </c>
      <c r="D70" s="23" t="str">
        <f t="shared" si="0"/>
        <v xml:space="preserve"> </v>
      </c>
      <c r="E70">
        <f>HLOOKUP(Weights!$B$6,'IFRA class 5A'!$A$1:$AZ$27,16,FALSE)</f>
        <v>0</v>
      </c>
      <c r="F70" t="str">
        <f>IF(C70&gt;=0.01,"Coumarin","")</f>
        <v/>
      </c>
    </row>
    <row r="71" spans="1:7" x14ac:dyDescent="0.4">
      <c r="A71" s="151"/>
      <c r="B71" s="15" t="s">
        <v>14</v>
      </c>
      <c r="C71" s="13">
        <f>Weights!$D$6/100*E71</f>
        <v>0</v>
      </c>
      <c r="D71" s="23" t="str">
        <f t="shared" si="0"/>
        <v xml:space="preserve"> </v>
      </c>
      <c r="E71">
        <f>HLOOKUP(Weights!$B$6,'IFRA class 5A'!$A$1:$AZ$27,17,FALSE)</f>
        <v>0</v>
      </c>
      <c r="F71" t="str">
        <f>IF(C71&gt;=0.01,"Eugenol","")</f>
        <v/>
      </c>
    </row>
    <row r="72" spans="1:7" x14ac:dyDescent="0.4">
      <c r="A72" s="151"/>
      <c r="B72" s="15" t="s">
        <v>239</v>
      </c>
      <c r="C72" s="13"/>
      <c r="D72" s="23" t="str">
        <f t="shared" si="0"/>
        <v xml:space="preserve"> </v>
      </c>
      <c r="E72">
        <f>HLOOKUP(Weights!$B$6,'IFRA class 5A'!$A$1:$AZ$27,18,FALSE)</f>
        <v>0</v>
      </c>
    </row>
    <row r="73" spans="1:7" x14ac:dyDescent="0.4">
      <c r="A73" s="151"/>
      <c r="B73" s="15" t="s">
        <v>15</v>
      </c>
      <c r="C73" s="13">
        <f>Weights!$D$6/100*E73</f>
        <v>0</v>
      </c>
      <c r="D73" s="23" t="str">
        <f t="shared" si="0"/>
        <v xml:space="preserve"> </v>
      </c>
      <c r="E73">
        <f>HLOOKUP(Weights!$B$6,'IFRA class 5A'!$A$1:$AZ$27,19,FALSE)</f>
        <v>0</v>
      </c>
      <c r="F73" t="str">
        <f>IF(C73&gt;=0.01,"Farnesol","")</f>
        <v/>
      </c>
    </row>
    <row r="74" spans="1:7" x14ac:dyDescent="0.4">
      <c r="A74" s="151"/>
      <c r="B74" s="15" t="s">
        <v>16</v>
      </c>
      <c r="C74" s="13">
        <f>Weights!$D$6/100*E74</f>
        <v>0</v>
      </c>
      <c r="D74" s="23" t="str">
        <f t="shared" si="0"/>
        <v xml:space="preserve"> </v>
      </c>
      <c r="E74">
        <f>HLOOKUP(Weights!$B$6,'IFRA class 5A'!$A$1:$AZ$27,20,FALSE)</f>
        <v>0</v>
      </c>
      <c r="F74" t="str">
        <f>IF(C74&gt;=0.01,"Geraniol","")</f>
        <v/>
      </c>
    </row>
    <row r="75" spans="1:7" x14ac:dyDescent="0.4">
      <c r="A75" s="151"/>
      <c r="B75" s="15" t="s">
        <v>17</v>
      </c>
      <c r="C75" s="13">
        <f>Weights!$D$6/100*E75</f>
        <v>0</v>
      </c>
      <c r="D75" s="23" t="str">
        <f t="shared" si="0"/>
        <v xml:space="preserve"> </v>
      </c>
      <c r="E75">
        <f>HLOOKUP(Weights!$B$6,'IFRA class 5A'!$A$1:$AZ$27,21,FALSE)</f>
        <v>0</v>
      </c>
      <c r="F75" t="str">
        <f>IF(C75&gt;=0.01,"Hexyl Cinnamal","")</f>
        <v/>
      </c>
    </row>
    <row r="76" spans="1:7" x14ac:dyDescent="0.4">
      <c r="A76" s="151"/>
      <c r="B76" s="15" t="s">
        <v>18</v>
      </c>
      <c r="C76" s="13">
        <f>Weights!$D$6/100*E76</f>
        <v>0</v>
      </c>
      <c r="D76" s="23" t="str">
        <f t="shared" si="0"/>
        <v xml:space="preserve"> </v>
      </c>
      <c r="E76">
        <f>HLOOKUP(Weights!$B$6,'IFRA class 5A'!$A$1:$AZ$27,22,FALSE)</f>
        <v>0</v>
      </c>
      <c r="F76" t="str">
        <f>IF(C76&gt;=0.01,"Hydroxycitronellal","")</f>
        <v/>
      </c>
    </row>
    <row r="77" spans="1:7" x14ac:dyDescent="0.4">
      <c r="A77" s="151"/>
      <c r="B77" s="15" t="s">
        <v>19</v>
      </c>
      <c r="C77" s="13">
        <f>Weights!$D$6/100*E77</f>
        <v>0</v>
      </c>
      <c r="D77" s="23" t="str">
        <f t="shared" si="0"/>
        <v xml:space="preserve"> </v>
      </c>
      <c r="E77">
        <f>HLOOKUP(Weights!$B$6,'IFRA class 5A'!$A$1:$AZ$27,23,FALSE)</f>
        <v>0</v>
      </c>
      <c r="F77" t="str">
        <f>IF(C77&gt;=0.01,"Isoeugenol","")</f>
        <v/>
      </c>
    </row>
    <row r="78" spans="1:7" x14ac:dyDescent="0.4">
      <c r="A78" s="151"/>
      <c r="B78" s="15" t="s">
        <v>20</v>
      </c>
      <c r="C78" s="13">
        <f>Weights!$D$6/100*E78</f>
        <v>0</v>
      </c>
      <c r="D78" s="23" t="str">
        <f t="shared" si="0"/>
        <v xml:space="preserve"> </v>
      </c>
      <c r="E78">
        <f>HLOOKUP(Weights!$B$6,'IFRA class 5A'!$A$1:$AZ$27,24,FALSE)</f>
        <v>0</v>
      </c>
      <c r="F78" t="str">
        <f>IF(C78&gt;=0.01,"Limonene","")</f>
        <v/>
      </c>
      <c r="G78" s="5"/>
    </row>
    <row r="79" spans="1:7" x14ac:dyDescent="0.4">
      <c r="A79" s="151"/>
      <c r="B79" s="15" t="s">
        <v>21</v>
      </c>
      <c r="C79" s="13">
        <f>Weights!$D$6/100*E79</f>
        <v>0</v>
      </c>
      <c r="D79" s="23" t="str">
        <f t="shared" si="0"/>
        <v xml:space="preserve"> </v>
      </c>
      <c r="E79">
        <f>HLOOKUP(Weights!$B$6,'IFRA class 5A'!$A$1:$AZ$27,25,FALSE)</f>
        <v>0</v>
      </c>
      <c r="F79" t="str">
        <f>IF(C79&gt;=0.01,"Linalool","")</f>
        <v/>
      </c>
    </row>
    <row r="80" spans="1:7" ht="20.25" thickBot="1" x14ac:dyDescent="0.45">
      <c r="A80" s="151"/>
      <c r="B80" s="16" t="s">
        <v>22</v>
      </c>
      <c r="C80" s="13">
        <f>Weights!$D$6/100*E80</f>
        <v>0</v>
      </c>
      <c r="D80" s="23" t="str">
        <f t="shared" si="0"/>
        <v xml:space="preserve"> </v>
      </c>
      <c r="E80">
        <f>HLOOKUP(Weights!$B$6,'IFRA class 5A'!$A$1:$AZ$27,26,FALSE)</f>
        <v>0</v>
      </c>
      <c r="F80" t="str">
        <f>IF(C80&gt;=0.01,"Methyl 2-Octynoate","")</f>
        <v/>
      </c>
    </row>
    <row r="81" spans="1:4" hidden="1" x14ac:dyDescent="0.4">
      <c r="C81" s="17"/>
      <c r="D81" s="17"/>
    </row>
    <row r="82" spans="1:4" hidden="1" x14ac:dyDescent="0.4">
      <c r="C82" s="17"/>
      <c r="D82" s="17"/>
    </row>
    <row r="83" spans="1:4" hidden="1" x14ac:dyDescent="0.4">
      <c r="A83" s="28"/>
      <c r="B83" s="20"/>
    </row>
    <row r="84" spans="1:4" hidden="1" x14ac:dyDescent="0.4">
      <c r="B84" s="20"/>
    </row>
    <row r="85" spans="1:4" hidden="1" x14ac:dyDescent="0.4">
      <c r="B85" s="20"/>
    </row>
    <row r="86" spans="1:4" ht="138" hidden="1" customHeight="1" x14ac:dyDescent="0.4">
      <c r="A86" s="28" t="s">
        <v>123</v>
      </c>
      <c r="B86" s="20" t="str">
        <f>CONCATENATE(F58, ",",F59, ",", F60, ",", F61, ",", F62, ",", F63, ",", F64, ",", F65, ",", F66,  ",",F67, ",",F68, ",",F69, ",",F70, ",", F71, ",", F73, ",", F74, ",",F75, ",", F76, ",", F77, ",", F78, ",", F79, ",", , F80, ",")</f>
        <v>,,,,,,,,,,,,,,,,,,,,,,</v>
      </c>
    </row>
    <row r="87" spans="1:4" hidden="1" x14ac:dyDescent="0.4">
      <c r="B87" s="20"/>
    </row>
  </sheetData>
  <sheetProtection algorithmName="SHA-512" hashValue="3sI2nV+3tr/naSeoOkUk2boVToZ8QiSUgFm4RLXdBlEl+4taHxvHVqYF3aalqVa67K9Z0Uex/usnHXTL7XA91g==" saltValue="REFkXmWZCmfTfj8NMjylIQ==" spinCount="100000" sheet="1" objects="1" scenarios="1"/>
  <mergeCells count="6">
    <mergeCell ref="A48:A57"/>
    <mergeCell ref="A46:A47"/>
    <mergeCell ref="A58:A80"/>
    <mergeCell ref="A26:A31"/>
    <mergeCell ref="A2:A22"/>
    <mergeCell ref="A32:A45"/>
  </mergeCells>
  <conditionalFormatting sqref="C58:C80">
    <cfRule type="cellIs" dxfId="7" priority="9" operator="lessThan">
      <formula>0.01</formula>
    </cfRule>
    <cfRule type="cellIs" dxfId="6" priority="10" operator="greaterThan">
      <formula>0.01</formula>
    </cfRule>
  </conditionalFormatting>
  <conditionalFormatting sqref="D58:D80">
    <cfRule type="cellIs" dxfId="5" priority="3" operator="equal">
      <formula>""" """</formula>
    </cfRule>
    <cfRule type="cellIs" dxfId="4" priority="4" operator="equal">
      <formula>"EXCEEDS 0.01%"</formula>
    </cfRule>
    <cfRule type="cellIs" dxfId="3" priority="8" operator="equal">
      <formula>"REQUIRES PLACING ON THE INGREDIENT LABEL"</formula>
    </cfRule>
  </conditionalFormatting>
  <conditionalFormatting sqref="D79">
    <cfRule type="cellIs" dxfId="2" priority="7" operator="equal">
      <formula>"EXCEEDS 0.01%"</formula>
    </cfRule>
  </conditionalFormatting>
  <conditionalFormatting sqref="D25:D45">
    <cfRule type="cellIs" dxfId="1" priority="5" operator="equal">
      <formula>"EXCEEDS RECOMMENDED LEVELS"</formula>
    </cfRule>
    <cfRule type="cellIs" dxfId="0" priority="6" operator="equal">
      <formula>"ACCEPTABLE"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214E-DF39-4754-869D-5B0CF346709E}">
  <dimension ref="A1:G6"/>
  <sheetViews>
    <sheetView workbookViewId="0">
      <selection activeCell="F1" sqref="F1:F6"/>
    </sheetView>
  </sheetViews>
  <sheetFormatPr defaultRowHeight="15" x14ac:dyDescent="0.25"/>
  <cols>
    <col min="4" max="4" width="12.85546875" style="143" bestFit="1" customWidth="1"/>
  </cols>
  <sheetData>
    <row r="1" spans="1:7" ht="35.25" customHeight="1" thickBot="1" x14ac:dyDescent="0.3">
      <c r="A1" s="131" t="s">
        <v>193</v>
      </c>
      <c r="B1" s="131" t="s">
        <v>255</v>
      </c>
      <c r="C1" s="126" t="s">
        <v>253</v>
      </c>
      <c r="D1" s="142">
        <f>Weights!$D$23</f>
        <v>0</v>
      </c>
      <c r="E1" s="127">
        <v>54</v>
      </c>
      <c r="F1">
        <f>D1/100*E1</f>
        <v>0</v>
      </c>
      <c r="G1" s="127"/>
    </row>
    <row r="2" spans="1:7" ht="35.25" thickBot="1" x14ac:dyDescent="0.3">
      <c r="A2" s="128"/>
      <c r="B2" s="128"/>
      <c r="C2" s="129" t="s">
        <v>254</v>
      </c>
      <c r="D2" s="142">
        <f>Weights!$D$23</f>
        <v>0</v>
      </c>
      <c r="E2" s="130">
        <v>46</v>
      </c>
      <c r="F2">
        <f t="shared" ref="F2:F6" si="0">D2/100*E2</f>
        <v>0</v>
      </c>
      <c r="G2" s="130"/>
    </row>
    <row r="3" spans="1:7" ht="35.25" thickBot="1" x14ac:dyDescent="0.3">
      <c r="A3" s="131" t="s">
        <v>194</v>
      </c>
      <c r="B3" s="131" t="s">
        <v>255</v>
      </c>
      <c r="C3" s="129" t="s">
        <v>253</v>
      </c>
      <c r="D3" s="142">
        <f>Weights!$D$24</f>
        <v>0</v>
      </c>
      <c r="E3" s="130">
        <v>72</v>
      </c>
      <c r="F3">
        <f t="shared" si="0"/>
        <v>0</v>
      </c>
      <c r="G3" s="130"/>
    </row>
    <row r="4" spans="1:7" ht="35.25" thickBot="1" x14ac:dyDescent="0.3">
      <c r="A4" s="128"/>
      <c r="B4" s="128"/>
      <c r="C4" s="129" t="s">
        <v>254</v>
      </c>
      <c r="D4" s="142">
        <f>Weights!$D$24</f>
        <v>0</v>
      </c>
      <c r="E4" s="130">
        <v>28</v>
      </c>
      <c r="F4">
        <f t="shared" si="0"/>
        <v>0</v>
      </c>
      <c r="G4" s="130"/>
    </row>
    <row r="5" spans="1:7" ht="35.25" customHeight="1" thickBot="1" x14ac:dyDescent="0.3">
      <c r="A5" s="131" t="s">
        <v>195</v>
      </c>
      <c r="B5" s="131" t="s">
        <v>255</v>
      </c>
      <c r="C5" s="129" t="s">
        <v>253</v>
      </c>
      <c r="D5" s="142">
        <f>Weights!$D$25</f>
        <v>0</v>
      </c>
      <c r="E5" s="130">
        <v>71</v>
      </c>
      <c r="F5">
        <f t="shared" si="0"/>
        <v>0</v>
      </c>
      <c r="G5" s="130"/>
    </row>
    <row r="6" spans="1:7" ht="35.25" thickBot="1" x14ac:dyDescent="0.3">
      <c r="A6" s="128"/>
      <c r="B6" s="128"/>
      <c r="C6" s="129" t="s">
        <v>254</v>
      </c>
      <c r="D6" s="142">
        <f>Weights!$D$25</f>
        <v>0</v>
      </c>
      <c r="E6" s="130">
        <v>29</v>
      </c>
      <c r="F6">
        <f t="shared" si="0"/>
        <v>0</v>
      </c>
      <c r="G6" s="1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01BD-8D7B-4269-8D4B-270F36DDE274}">
  <dimension ref="A1:D22"/>
  <sheetViews>
    <sheetView topLeftCell="A16" workbookViewId="0">
      <selection activeCell="B2" sqref="B2:D22"/>
    </sheetView>
  </sheetViews>
  <sheetFormatPr defaultRowHeight="15" x14ac:dyDescent="0.25"/>
  <cols>
    <col min="3" max="3" width="18" bestFit="1" customWidth="1"/>
    <col min="4" max="4" width="12.42578125" bestFit="1" customWidth="1"/>
  </cols>
  <sheetData>
    <row r="1" spans="1:4" x14ac:dyDescent="0.25">
      <c r="C1" t="s">
        <v>200</v>
      </c>
      <c r="D1" t="s">
        <v>201</v>
      </c>
    </row>
    <row r="2" spans="1:4" ht="21.75" customHeight="1" x14ac:dyDescent="0.35">
      <c r="A2" s="26"/>
      <c r="B2" s="124" t="s">
        <v>118</v>
      </c>
      <c r="C2" s="132">
        <v>53.15</v>
      </c>
      <c r="D2" s="1"/>
    </row>
    <row r="3" spans="1:4" ht="108.75" x14ac:dyDescent="0.35">
      <c r="A3" s="26"/>
      <c r="B3" s="124" t="s">
        <v>242</v>
      </c>
      <c r="C3" s="132">
        <v>15</v>
      </c>
      <c r="D3" s="1"/>
    </row>
    <row r="4" spans="1:4" ht="130.5" x14ac:dyDescent="0.35">
      <c r="A4" s="26"/>
      <c r="B4" s="124" t="s">
        <v>106</v>
      </c>
      <c r="C4" s="132">
        <v>15</v>
      </c>
      <c r="D4" s="1"/>
    </row>
    <row r="5" spans="1:4" ht="87" x14ac:dyDescent="0.35">
      <c r="A5" s="26"/>
      <c r="B5" s="124" t="s">
        <v>243</v>
      </c>
      <c r="C5" s="132">
        <v>5</v>
      </c>
      <c r="D5" s="1"/>
    </row>
    <row r="6" spans="1:4" ht="108.75" x14ac:dyDescent="0.35">
      <c r="A6" s="26"/>
      <c r="B6" s="124" t="s">
        <v>131</v>
      </c>
      <c r="C6" s="132">
        <v>2.5</v>
      </c>
      <c r="D6" s="1"/>
    </row>
    <row r="7" spans="1:4" ht="87" x14ac:dyDescent="0.35">
      <c r="A7" s="26"/>
      <c r="B7" s="124" t="s">
        <v>244</v>
      </c>
      <c r="C7" s="132">
        <v>2.5</v>
      </c>
      <c r="D7" s="1"/>
    </row>
    <row r="8" spans="1:4" ht="108.75" x14ac:dyDescent="0.35">
      <c r="A8" s="26"/>
      <c r="B8" s="124" t="s">
        <v>245</v>
      </c>
      <c r="C8" s="132">
        <v>2.5</v>
      </c>
      <c r="D8" s="1"/>
    </row>
    <row r="9" spans="1:4" ht="65.25" x14ac:dyDescent="0.35">
      <c r="A9" s="26"/>
      <c r="B9" s="124" t="s">
        <v>246</v>
      </c>
      <c r="C9" s="132">
        <v>2.5</v>
      </c>
      <c r="D9" s="1"/>
    </row>
    <row r="10" spans="1:4" ht="65.25" x14ac:dyDescent="0.35">
      <c r="A10" s="26"/>
      <c r="B10" s="124" t="s">
        <v>130</v>
      </c>
      <c r="C10" s="132">
        <v>1</v>
      </c>
      <c r="D10" s="1"/>
    </row>
    <row r="11" spans="1:4" ht="43.5" x14ac:dyDescent="0.35">
      <c r="A11" s="26"/>
      <c r="B11" s="124" t="s">
        <v>247</v>
      </c>
      <c r="C11" s="132">
        <v>0.5</v>
      </c>
      <c r="D11" s="1"/>
    </row>
    <row r="12" spans="1:4" ht="43.5" x14ac:dyDescent="0.35">
      <c r="A12" s="26"/>
      <c r="B12" s="124" t="s">
        <v>248</v>
      </c>
      <c r="C12" s="132">
        <v>0.25</v>
      </c>
      <c r="D12" s="1"/>
    </row>
    <row r="13" spans="1:4" ht="65.25" x14ac:dyDescent="0.35">
      <c r="A13" s="26"/>
      <c r="B13" s="124" t="s">
        <v>249</v>
      </c>
      <c r="C13" s="132">
        <v>0.1</v>
      </c>
      <c r="D13" s="1"/>
    </row>
    <row r="14" spans="1:4" ht="21.75" x14ac:dyDescent="0.35">
      <c r="A14" s="26"/>
      <c r="B14" s="124" t="s">
        <v>118</v>
      </c>
      <c r="C14" s="1"/>
      <c r="D14" s="132">
        <v>67.900000000000006</v>
      </c>
    </row>
    <row r="15" spans="1:4" ht="108.75" x14ac:dyDescent="0.35">
      <c r="A15" s="26"/>
      <c r="B15" s="124" t="s">
        <v>242</v>
      </c>
      <c r="C15" s="1"/>
      <c r="D15" s="132">
        <v>20</v>
      </c>
    </row>
    <row r="16" spans="1:4" ht="65.25" x14ac:dyDescent="0.35">
      <c r="A16" s="26"/>
      <c r="B16" s="124" t="s">
        <v>250</v>
      </c>
      <c r="C16" s="1"/>
      <c r="D16" s="132">
        <v>5</v>
      </c>
    </row>
    <row r="17" spans="1:4" ht="87" x14ac:dyDescent="0.35">
      <c r="A17" s="26"/>
      <c r="B17" s="124" t="s">
        <v>244</v>
      </c>
      <c r="C17" s="1"/>
      <c r="D17" s="132">
        <v>2.5</v>
      </c>
    </row>
    <row r="18" spans="1:4" ht="87" x14ac:dyDescent="0.35">
      <c r="A18" s="26"/>
      <c r="B18" s="124" t="s">
        <v>243</v>
      </c>
      <c r="C18" s="1"/>
      <c r="D18" s="132">
        <v>2.5</v>
      </c>
    </row>
    <row r="19" spans="1:4" ht="65.25" x14ac:dyDescent="0.35">
      <c r="A19" s="26"/>
      <c r="B19" s="124" t="s">
        <v>130</v>
      </c>
      <c r="C19" s="1"/>
      <c r="D19" s="132">
        <v>1</v>
      </c>
    </row>
    <row r="20" spans="1:4" ht="43.5" x14ac:dyDescent="0.35">
      <c r="A20" s="26"/>
      <c r="B20" s="124" t="s">
        <v>251</v>
      </c>
      <c r="C20" s="1"/>
      <c r="D20" s="132">
        <v>0.5</v>
      </c>
    </row>
    <row r="21" spans="1:4" ht="87" x14ac:dyDescent="0.35">
      <c r="A21" s="26"/>
      <c r="B21" s="124" t="s">
        <v>252</v>
      </c>
      <c r="C21" s="1"/>
      <c r="D21" s="132">
        <v>0.5</v>
      </c>
    </row>
    <row r="22" spans="1:4" ht="87" x14ac:dyDescent="0.35">
      <c r="A22" s="26"/>
      <c r="B22" s="124" t="s">
        <v>119</v>
      </c>
      <c r="C22" s="1"/>
      <c r="D22" s="132">
        <v>0.1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C8D4-300C-44AE-BE9B-0C1F813F8BE0}">
  <dimension ref="A1:A5"/>
  <sheetViews>
    <sheetView workbookViewId="0">
      <selection activeCell="F39" sqref="F39"/>
    </sheetView>
  </sheetViews>
  <sheetFormatPr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191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AF27-63AF-4544-866E-1CF126F46FB3}">
  <dimension ref="A1:AZ27"/>
  <sheetViews>
    <sheetView topLeftCell="AE1" workbookViewId="0">
      <selection activeCell="AN5" sqref="AN5"/>
    </sheetView>
  </sheetViews>
  <sheetFormatPr defaultRowHeight="15" x14ac:dyDescent="0.25"/>
  <cols>
    <col min="1" max="1" width="22.85546875" bestFit="1" customWidth="1"/>
  </cols>
  <sheetData>
    <row r="1" spans="1:52" ht="60" x14ac:dyDescent="0.25">
      <c r="A1" s="95"/>
      <c r="B1" s="95" t="s">
        <v>47</v>
      </c>
      <c r="C1" s="77" t="s">
        <v>43</v>
      </c>
      <c r="D1" s="78" t="s">
        <v>87</v>
      </c>
      <c r="E1" s="77" t="s">
        <v>45</v>
      </c>
      <c r="F1" s="77" t="s">
        <v>49</v>
      </c>
      <c r="G1" s="97" t="s">
        <v>202</v>
      </c>
      <c r="H1" s="77" t="s">
        <v>133</v>
      </c>
      <c r="I1" s="77" t="s">
        <v>203</v>
      </c>
      <c r="J1" s="77" t="s">
        <v>134</v>
      </c>
      <c r="K1" s="103" t="s">
        <v>204</v>
      </c>
      <c r="L1" s="77" t="s">
        <v>53</v>
      </c>
      <c r="M1" s="77" t="s">
        <v>205</v>
      </c>
      <c r="N1" s="77" t="s">
        <v>206</v>
      </c>
      <c r="O1" s="77" t="s">
        <v>88</v>
      </c>
      <c r="P1" s="77" t="s">
        <v>207</v>
      </c>
      <c r="Q1" s="77" t="s">
        <v>135</v>
      </c>
      <c r="R1" s="77" t="s">
        <v>208</v>
      </c>
      <c r="S1" s="76" t="s">
        <v>209</v>
      </c>
      <c r="T1" s="75" t="s">
        <v>56</v>
      </c>
      <c r="U1" s="75" t="s">
        <v>91</v>
      </c>
      <c r="V1" s="113" t="s">
        <v>210</v>
      </c>
      <c r="W1" s="75" t="s">
        <v>58</v>
      </c>
      <c r="X1" s="97" t="s">
        <v>211</v>
      </c>
      <c r="Y1" s="75" t="s">
        <v>136</v>
      </c>
      <c r="Z1" s="75" t="s">
        <v>60</v>
      </c>
      <c r="AA1" s="75" t="s">
        <v>212</v>
      </c>
      <c r="AB1" s="75" t="s">
        <v>63</v>
      </c>
      <c r="AC1" s="75" t="s">
        <v>93</v>
      </c>
      <c r="AD1" s="75" t="s">
        <v>95</v>
      </c>
      <c r="AE1" s="75" t="s">
        <v>97</v>
      </c>
      <c r="AF1" s="97" t="s">
        <v>213</v>
      </c>
      <c r="AG1" s="75" t="s">
        <v>99</v>
      </c>
      <c r="AH1" s="75" t="s">
        <v>214</v>
      </c>
      <c r="AI1" s="75" t="s">
        <v>215</v>
      </c>
      <c r="AJ1" s="75" t="s">
        <v>137</v>
      </c>
      <c r="AK1" s="97" t="s">
        <v>216</v>
      </c>
      <c r="AL1" s="89" t="s">
        <v>64</v>
      </c>
      <c r="AM1" s="113" t="s">
        <v>217</v>
      </c>
      <c r="AN1" s="89" t="s">
        <v>67</v>
      </c>
      <c r="AO1" s="89" t="s">
        <v>69</v>
      </c>
      <c r="AP1" s="89" t="s">
        <v>71</v>
      </c>
      <c r="AQ1" s="113" t="s">
        <v>218</v>
      </c>
      <c r="AR1" s="76" t="s">
        <v>219</v>
      </c>
      <c r="AS1" s="89" t="s">
        <v>101</v>
      </c>
      <c r="AT1" s="89" t="s">
        <v>72</v>
      </c>
      <c r="AU1" s="89" t="s">
        <v>74</v>
      </c>
      <c r="AV1" s="97" t="s">
        <v>220</v>
      </c>
      <c r="AW1" s="97" t="s">
        <v>221</v>
      </c>
      <c r="AX1" s="89" t="s">
        <v>138</v>
      </c>
      <c r="AY1" s="89" t="s">
        <v>139</v>
      </c>
      <c r="AZ1" s="3" t="s">
        <v>77</v>
      </c>
    </row>
    <row r="2" spans="1:52" ht="120" x14ac:dyDescent="0.25">
      <c r="A2" s="79"/>
      <c r="B2" s="92"/>
      <c r="C2" s="81" t="s">
        <v>44</v>
      </c>
      <c r="D2" s="81" t="s">
        <v>86</v>
      </c>
      <c r="E2" s="81" t="s">
        <v>46</v>
      </c>
      <c r="F2" s="81" t="s">
        <v>50</v>
      </c>
      <c r="G2" s="98" t="s">
        <v>222</v>
      </c>
      <c r="H2" s="81" t="s">
        <v>140</v>
      </c>
      <c r="I2" s="81" t="s">
        <v>141</v>
      </c>
      <c r="J2" s="81" t="s">
        <v>142</v>
      </c>
      <c r="K2" s="98" t="s">
        <v>223</v>
      </c>
      <c r="L2" s="81" t="s">
        <v>54</v>
      </c>
      <c r="M2" s="81" t="s">
        <v>224</v>
      </c>
      <c r="N2" s="81" t="s">
        <v>143</v>
      </c>
      <c r="O2" s="81" t="s">
        <v>89</v>
      </c>
      <c r="P2" s="81" t="s">
        <v>225</v>
      </c>
      <c r="Q2" s="81" t="s">
        <v>144</v>
      </c>
      <c r="R2" s="81" t="s">
        <v>226</v>
      </c>
      <c r="S2" s="80" t="s">
        <v>227</v>
      </c>
      <c r="T2" s="110" t="s">
        <v>55</v>
      </c>
      <c r="U2" s="110" t="s">
        <v>90</v>
      </c>
      <c r="V2" s="114" t="s">
        <v>228</v>
      </c>
      <c r="W2" s="110" t="s">
        <v>59</v>
      </c>
      <c r="X2" s="98" t="s">
        <v>229</v>
      </c>
      <c r="Y2" s="110" t="s">
        <v>145</v>
      </c>
      <c r="Z2" s="110" t="s">
        <v>61</v>
      </c>
      <c r="AA2" s="110" t="s">
        <v>92</v>
      </c>
      <c r="AB2" s="110" t="s">
        <v>62</v>
      </c>
      <c r="AC2" s="110" t="s">
        <v>94</v>
      </c>
      <c r="AD2" s="110" t="s">
        <v>96</v>
      </c>
      <c r="AE2" s="110" t="s">
        <v>98</v>
      </c>
      <c r="AF2" s="98" t="s">
        <v>230</v>
      </c>
      <c r="AG2" s="110" t="s">
        <v>146</v>
      </c>
      <c r="AH2" s="114" t="s">
        <v>231</v>
      </c>
      <c r="AI2" s="114" t="s">
        <v>232</v>
      </c>
      <c r="AJ2" s="114" t="s">
        <v>147</v>
      </c>
      <c r="AK2" s="98" t="s">
        <v>233</v>
      </c>
      <c r="AL2" s="118" t="s">
        <v>65</v>
      </c>
      <c r="AM2" s="114" t="s">
        <v>234</v>
      </c>
      <c r="AN2" s="118" t="s">
        <v>66</v>
      </c>
      <c r="AO2" s="118" t="s">
        <v>68</v>
      </c>
      <c r="AP2" s="118" t="s">
        <v>70</v>
      </c>
      <c r="AQ2" s="114" t="s">
        <v>235</v>
      </c>
      <c r="AR2" s="80" t="s">
        <v>236</v>
      </c>
      <c r="AS2" s="118" t="s">
        <v>100</v>
      </c>
      <c r="AT2" s="118" t="s">
        <v>73</v>
      </c>
      <c r="AU2" s="118" t="s">
        <v>75</v>
      </c>
      <c r="AV2" s="98" t="s">
        <v>237</v>
      </c>
      <c r="AW2" s="98" t="s">
        <v>238</v>
      </c>
      <c r="AX2" s="118" t="s">
        <v>148</v>
      </c>
      <c r="AY2" s="118" t="s">
        <v>149</v>
      </c>
      <c r="AZ2" s="87" t="s">
        <v>76</v>
      </c>
    </row>
    <row r="3" spans="1:52" x14ac:dyDescent="0.25">
      <c r="A3" s="82" t="s">
        <v>0</v>
      </c>
      <c r="B3" s="83">
        <v>2</v>
      </c>
      <c r="C3" s="96">
        <v>2</v>
      </c>
      <c r="D3" s="96">
        <v>2</v>
      </c>
      <c r="E3" s="96">
        <v>1</v>
      </c>
      <c r="F3" s="96">
        <v>1</v>
      </c>
      <c r="G3" s="99">
        <v>2</v>
      </c>
      <c r="H3" s="96">
        <v>2</v>
      </c>
      <c r="I3" s="96">
        <v>2</v>
      </c>
      <c r="J3" s="96">
        <v>2</v>
      </c>
      <c r="K3" s="101">
        <v>1</v>
      </c>
      <c r="L3" s="96">
        <v>1</v>
      </c>
      <c r="M3" s="102">
        <v>2</v>
      </c>
      <c r="N3" s="102">
        <v>2</v>
      </c>
      <c r="O3" s="96">
        <v>2</v>
      </c>
      <c r="P3" s="96">
        <v>2</v>
      </c>
      <c r="Q3" s="96">
        <v>2</v>
      </c>
      <c r="R3" s="102">
        <v>2</v>
      </c>
      <c r="S3" s="109">
        <v>2</v>
      </c>
      <c r="T3" s="111">
        <v>2</v>
      </c>
      <c r="U3" s="112">
        <v>2</v>
      </c>
      <c r="V3" s="115">
        <v>2</v>
      </c>
      <c r="W3" s="112">
        <v>1</v>
      </c>
      <c r="X3" s="99">
        <v>2</v>
      </c>
      <c r="Y3" s="112">
        <v>2</v>
      </c>
      <c r="Z3" s="112">
        <v>2</v>
      </c>
      <c r="AA3" s="112">
        <v>2</v>
      </c>
      <c r="AB3" s="112">
        <v>2</v>
      </c>
      <c r="AC3" s="112">
        <v>2</v>
      </c>
      <c r="AD3" s="112">
        <v>2</v>
      </c>
      <c r="AE3" s="112">
        <v>2</v>
      </c>
      <c r="AF3" s="99">
        <v>2</v>
      </c>
      <c r="AG3" s="112">
        <v>2</v>
      </c>
      <c r="AH3" s="112">
        <v>2</v>
      </c>
      <c r="AI3" s="115">
        <v>2</v>
      </c>
      <c r="AJ3" s="115">
        <v>2</v>
      </c>
      <c r="AK3" s="99">
        <v>2</v>
      </c>
      <c r="AL3" s="119">
        <v>2</v>
      </c>
      <c r="AM3" s="115">
        <v>1</v>
      </c>
      <c r="AN3" s="101">
        <v>2</v>
      </c>
      <c r="AO3" s="101">
        <v>2</v>
      </c>
      <c r="AP3" s="101">
        <v>2</v>
      </c>
      <c r="AQ3" s="115">
        <v>2</v>
      </c>
      <c r="AR3" s="109">
        <v>2</v>
      </c>
      <c r="AS3" s="101">
        <v>2</v>
      </c>
      <c r="AT3" s="101">
        <v>2</v>
      </c>
      <c r="AU3" s="101">
        <v>2</v>
      </c>
      <c r="AV3" s="99">
        <v>2</v>
      </c>
      <c r="AW3" s="99">
        <v>2</v>
      </c>
      <c r="AX3" s="101">
        <v>2</v>
      </c>
      <c r="AY3" s="101">
        <v>2</v>
      </c>
      <c r="AZ3" s="88">
        <v>2</v>
      </c>
    </row>
    <row r="4" spans="1:52" x14ac:dyDescent="0.25">
      <c r="A4" s="84" t="s">
        <v>1</v>
      </c>
      <c r="B4" s="93"/>
      <c r="C4" s="85"/>
      <c r="D4" s="85"/>
      <c r="E4" s="85"/>
      <c r="F4" s="85"/>
      <c r="G4" s="100">
        <v>0.35</v>
      </c>
      <c r="H4" s="85">
        <v>7.0000000000000007E-2</v>
      </c>
      <c r="I4" s="85"/>
      <c r="J4" s="85">
        <v>2.1</v>
      </c>
      <c r="K4" s="104"/>
      <c r="L4" s="94"/>
      <c r="M4" s="105">
        <v>1.75</v>
      </c>
      <c r="N4" s="106">
        <v>0.14000000000000001</v>
      </c>
      <c r="O4" s="85">
        <v>0.56000000000000005</v>
      </c>
      <c r="P4" s="107"/>
      <c r="Q4" s="94"/>
      <c r="R4" s="105"/>
      <c r="S4" s="106"/>
      <c r="T4" s="106">
        <v>0.14000000000000001</v>
      </c>
      <c r="U4" s="85">
        <v>0.7</v>
      </c>
      <c r="V4" s="104"/>
      <c r="W4" s="85">
        <v>20.23</v>
      </c>
      <c r="X4" s="116">
        <v>1.68</v>
      </c>
      <c r="Y4" s="85"/>
      <c r="Z4" s="85"/>
      <c r="AA4" s="85"/>
      <c r="AB4" s="85"/>
      <c r="AC4" s="85"/>
      <c r="AD4" s="85"/>
      <c r="AE4" s="85"/>
      <c r="AF4" s="116">
        <v>0.35</v>
      </c>
      <c r="AG4" s="85">
        <v>0.84</v>
      </c>
      <c r="AH4" s="107"/>
      <c r="AI4" s="107"/>
      <c r="AJ4" s="117"/>
      <c r="AK4" s="106"/>
      <c r="AL4" s="106"/>
      <c r="AM4" s="106">
        <v>0.91</v>
      </c>
      <c r="AN4" s="120">
        <v>1.4</v>
      </c>
      <c r="AO4" s="120">
        <v>0.42</v>
      </c>
      <c r="AP4" s="120"/>
      <c r="AQ4" s="104"/>
      <c r="AR4" s="104"/>
      <c r="AS4" s="120"/>
      <c r="AT4" s="120">
        <v>1.75</v>
      </c>
      <c r="AU4" s="120"/>
      <c r="AV4" s="116"/>
      <c r="AW4" s="116"/>
      <c r="AX4" s="120">
        <v>2.3199999999999998</v>
      </c>
      <c r="AY4" s="120"/>
      <c r="AZ4" s="90"/>
    </row>
    <row r="5" spans="1:52" x14ac:dyDescent="0.25">
      <c r="A5" s="84" t="s">
        <v>2</v>
      </c>
      <c r="B5" s="93"/>
      <c r="C5" s="85"/>
      <c r="D5" s="85"/>
      <c r="E5" s="85"/>
      <c r="F5" s="85"/>
      <c r="G5" s="100"/>
      <c r="H5" s="85"/>
      <c r="I5" s="85"/>
      <c r="J5" s="85">
        <v>1.2</v>
      </c>
      <c r="K5" s="104">
        <v>18.2</v>
      </c>
      <c r="L5" s="94"/>
      <c r="M5" s="105"/>
      <c r="N5" s="106"/>
      <c r="O5" s="85"/>
      <c r="P5" s="107"/>
      <c r="Q5" s="94">
        <v>4</v>
      </c>
      <c r="R5" s="105"/>
      <c r="S5" s="106"/>
      <c r="T5" s="106"/>
      <c r="U5" s="85">
        <v>2.8</v>
      </c>
      <c r="V5" s="104"/>
      <c r="W5" s="85"/>
      <c r="X5" s="116"/>
      <c r="Y5" s="85"/>
      <c r="Z5" s="85"/>
      <c r="AA5" s="85"/>
      <c r="AB5" s="85"/>
      <c r="AC5" s="85"/>
      <c r="AD5" s="85"/>
      <c r="AE5" s="85"/>
      <c r="AF5" s="116"/>
      <c r="AG5" s="85"/>
      <c r="AH5" s="107"/>
      <c r="AI5" s="107"/>
      <c r="AJ5" s="117"/>
      <c r="AK5" s="106"/>
      <c r="AL5" s="106"/>
      <c r="AM5" s="106"/>
      <c r="AN5" s="120"/>
      <c r="AO5" s="120"/>
      <c r="AP5" s="120"/>
      <c r="AQ5" s="104"/>
      <c r="AR5" s="104"/>
      <c r="AS5" s="120"/>
      <c r="AT5" s="120">
        <v>7.2</v>
      </c>
      <c r="AU5" s="120"/>
      <c r="AV5" s="116"/>
      <c r="AW5" s="116"/>
      <c r="AX5" s="120"/>
      <c r="AY5" s="120"/>
      <c r="AZ5" s="90"/>
    </row>
    <row r="6" spans="1:52" x14ac:dyDescent="0.25">
      <c r="A6" s="84" t="s">
        <v>3</v>
      </c>
      <c r="B6" s="93"/>
      <c r="C6" s="85"/>
      <c r="D6" s="85"/>
      <c r="E6" s="85"/>
      <c r="F6" s="85"/>
      <c r="G6" s="100"/>
      <c r="H6" s="85"/>
      <c r="I6" s="85"/>
      <c r="J6" s="85"/>
      <c r="K6" s="104"/>
      <c r="L6" s="94"/>
      <c r="M6" s="105"/>
      <c r="N6" s="106"/>
      <c r="O6" s="85"/>
      <c r="P6" s="107"/>
      <c r="Q6" s="94"/>
      <c r="R6" s="105"/>
      <c r="S6" s="106"/>
      <c r="T6" s="106"/>
      <c r="U6" s="85"/>
      <c r="V6" s="104"/>
      <c r="W6" s="85"/>
      <c r="X6" s="116"/>
      <c r="Y6" s="85"/>
      <c r="Z6" s="85"/>
      <c r="AA6" s="85"/>
      <c r="AB6" s="85"/>
      <c r="AC6" s="85"/>
      <c r="AD6" s="85"/>
      <c r="AE6" s="85"/>
      <c r="AF6" s="116"/>
      <c r="AG6" s="85"/>
      <c r="AH6" s="107"/>
      <c r="AI6" s="107"/>
      <c r="AJ6" s="117"/>
      <c r="AK6" s="106"/>
      <c r="AL6" s="106"/>
      <c r="AM6" s="106"/>
      <c r="AN6" s="120"/>
      <c r="AO6" s="120"/>
      <c r="AP6" s="120"/>
      <c r="AQ6" s="104"/>
      <c r="AR6" s="104"/>
      <c r="AS6" s="120"/>
      <c r="AT6" s="120"/>
      <c r="AU6" s="120"/>
      <c r="AV6" s="116"/>
      <c r="AW6" s="116"/>
      <c r="AX6" s="120"/>
      <c r="AY6" s="120"/>
      <c r="AZ6" s="90"/>
    </row>
    <row r="7" spans="1:52" x14ac:dyDescent="0.25">
      <c r="A7" s="84" t="s">
        <v>4</v>
      </c>
      <c r="B7" s="93"/>
      <c r="C7" s="85"/>
      <c r="D7" s="85"/>
      <c r="E7" s="85"/>
      <c r="F7" s="85"/>
      <c r="G7" s="100"/>
      <c r="H7" s="85"/>
      <c r="I7" s="85"/>
      <c r="J7" s="85"/>
      <c r="K7" s="104"/>
      <c r="L7" s="94"/>
      <c r="M7" s="105"/>
      <c r="N7" s="106"/>
      <c r="O7" s="85"/>
      <c r="P7" s="107"/>
      <c r="Q7" s="94"/>
      <c r="R7" s="105"/>
      <c r="S7" s="106"/>
      <c r="T7" s="106"/>
      <c r="U7" s="85"/>
      <c r="V7" s="104"/>
      <c r="W7" s="85"/>
      <c r="X7" s="116"/>
      <c r="Y7" s="85"/>
      <c r="Z7" s="85"/>
      <c r="AA7" s="85"/>
      <c r="AB7" s="85"/>
      <c r="AC7" s="85"/>
      <c r="AD7" s="85"/>
      <c r="AE7" s="85"/>
      <c r="AF7" s="116"/>
      <c r="AG7" s="85"/>
      <c r="AH7" s="107"/>
      <c r="AI7" s="107"/>
      <c r="AJ7" s="117"/>
      <c r="AK7" s="106"/>
      <c r="AL7" s="106"/>
      <c r="AM7" s="106"/>
      <c r="AN7" s="120"/>
      <c r="AO7" s="120"/>
      <c r="AP7" s="120"/>
      <c r="AQ7" s="104"/>
      <c r="AR7" s="104"/>
      <c r="AS7" s="120"/>
      <c r="AT7" s="120"/>
      <c r="AU7" s="120"/>
      <c r="AV7" s="116"/>
      <c r="AW7" s="116"/>
      <c r="AX7" s="120"/>
      <c r="AY7" s="120"/>
      <c r="AZ7" s="90"/>
    </row>
    <row r="8" spans="1:52" x14ac:dyDescent="0.25">
      <c r="A8" s="84" t="s">
        <v>5</v>
      </c>
      <c r="B8" s="93"/>
      <c r="C8" s="85"/>
      <c r="D8" s="85"/>
      <c r="E8" s="85"/>
      <c r="F8" s="85"/>
      <c r="G8" s="100"/>
      <c r="H8" s="85"/>
      <c r="I8" s="85"/>
      <c r="J8" s="85">
        <v>5.0000000000000001E-3</v>
      </c>
      <c r="K8" s="104">
        <v>0.5</v>
      </c>
      <c r="L8" s="94"/>
      <c r="M8" s="105"/>
      <c r="N8" s="106"/>
      <c r="O8" s="85"/>
      <c r="P8" s="107"/>
      <c r="Q8" s="94">
        <v>9.5000000000000001E-2</v>
      </c>
      <c r="R8" s="105"/>
      <c r="S8" s="106"/>
      <c r="T8" s="106"/>
      <c r="U8" s="85">
        <v>0.19</v>
      </c>
      <c r="V8" s="104"/>
      <c r="W8" s="85"/>
      <c r="X8" s="116"/>
      <c r="Y8" s="85"/>
      <c r="Z8" s="85"/>
      <c r="AA8" s="85"/>
      <c r="AB8" s="85">
        <v>0.95</v>
      </c>
      <c r="AC8" s="85"/>
      <c r="AD8" s="85"/>
      <c r="AE8" s="85"/>
      <c r="AF8" s="116"/>
      <c r="AG8" s="85"/>
      <c r="AH8" s="107">
        <v>1.008</v>
      </c>
      <c r="AI8" s="107">
        <v>0.2</v>
      </c>
      <c r="AJ8" s="117"/>
      <c r="AK8" s="106"/>
      <c r="AL8" s="106"/>
      <c r="AM8" s="106"/>
      <c r="AN8" s="120">
        <v>3.1E-2</v>
      </c>
      <c r="AO8" s="120"/>
      <c r="AP8" s="120"/>
      <c r="AQ8" s="104"/>
      <c r="AR8" s="104"/>
      <c r="AS8" s="120"/>
      <c r="AT8" s="120"/>
      <c r="AU8" s="120"/>
      <c r="AV8" s="116"/>
      <c r="AW8" s="116"/>
      <c r="AX8" s="120"/>
      <c r="AY8" s="120"/>
      <c r="AZ8" s="90"/>
    </row>
    <row r="9" spans="1:52" x14ac:dyDescent="0.25">
      <c r="A9" s="84" t="s">
        <v>6</v>
      </c>
      <c r="B9" s="93"/>
      <c r="C9" s="85"/>
      <c r="D9" s="85"/>
      <c r="E9" s="85">
        <v>3.0000000000000001E-3</v>
      </c>
      <c r="F9" s="85">
        <v>30</v>
      </c>
      <c r="G9" s="100"/>
      <c r="H9" s="85"/>
      <c r="I9" s="85"/>
      <c r="J9" s="85">
        <v>3.0000000000000001E-3</v>
      </c>
      <c r="K9" s="104"/>
      <c r="L9" s="94"/>
      <c r="M9" s="105"/>
      <c r="N9" s="106"/>
      <c r="O9" s="85"/>
      <c r="P9" s="107"/>
      <c r="Q9" s="94"/>
      <c r="R9" s="105"/>
      <c r="S9" s="106">
        <v>0.53500000000000003</v>
      </c>
      <c r="T9" s="106"/>
      <c r="U9" s="85">
        <v>2.0259999999999998</v>
      </c>
      <c r="V9" s="104"/>
      <c r="W9" s="85"/>
      <c r="X9" s="116"/>
      <c r="Y9" s="85"/>
      <c r="Z9" s="85"/>
      <c r="AA9" s="85"/>
      <c r="AB9" s="85"/>
      <c r="AC9" s="85"/>
      <c r="AD9" s="85"/>
      <c r="AE9" s="85"/>
      <c r="AF9" s="116"/>
      <c r="AG9" s="85"/>
      <c r="AH9" s="107"/>
      <c r="AI9" s="107"/>
      <c r="AJ9" s="117"/>
      <c r="AK9" s="106"/>
      <c r="AL9" s="106"/>
      <c r="AM9" s="106"/>
      <c r="AN9" s="120">
        <v>0.126</v>
      </c>
      <c r="AO9" s="120"/>
      <c r="AP9" s="120"/>
      <c r="AQ9" s="104">
        <v>67.92</v>
      </c>
      <c r="AR9" s="104"/>
      <c r="AS9" s="120"/>
      <c r="AT9" s="120"/>
      <c r="AU9" s="120"/>
      <c r="AV9" s="116"/>
      <c r="AW9" s="116"/>
      <c r="AX9" s="120">
        <v>3.92</v>
      </c>
      <c r="AY9" s="120"/>
      <c r="AZ9" s="90"/>
    </row>
    <row r="10" spans="1:52" x14ac:dyDescent="0.25">
      <c r="A10" s="84" t="s">
        <v>7</v>
      </c>
      <c r="B10" s="93"/>
      <c r="C10" s="85"/>
      <c r="D10" s="85"/>
      <c r="E10" s="85"/>
      <c r="F10" s="85"/>
      <c r="G10" s="100"/>
      <c r="H10" s="85"/>
      <c r="I10" s="85"/>
      <c r="J10" s="85"/>
      <c r="K10" s="104"/>
      <c r="L10" s="94"/>
      <c r="M10" s="105"/>
      <c r="N10" s="106"/>
      <c r="O10" s="85"/>
      <c r="P10" s="107"/>
      <c r="Q10" s="94"/>
      <c r="R10" s="105"/>
      <c r="S10" s="106"/>
      <c r="T10" s="106"/>
      <c r="U10" s="85"/>
      <c r="V10" s="104"/>
      <c r="W10" s="85"/>
      <c r="X10" s="116"/>
      <c r="Y10" s="85"/>
      <c r="Z10" s="85"/>
      <c r="AA10" s="85"/>
      <c r="AB10" s="85"/>
      <c r="AC10" s="85"/>
      <c r="AD10" s="85"/>
      <c r="AE10" s="85"/>
      <c r="AF10" s="116"/>
      <c r="AG10" s="85"/>
      <c r="AH10" s="107"/>
      <c r="AI10" s="107"/>
      <c r="AJ10" s="117"/>
      <c r="AK10" s="106"/>
      <c r="AL10" s="106"/>
      <c r="AM10" s="106"/>
      <c r="AN10" s="120"/>
      <c r="AO10" s="120"/>
      <c r="AP10" s="120"/>
      <c r="AQ10" s="104"/>
      <c r="AR10" s="104"/>
      <c r="AS10" s="120"/>
      <c r="AT10" s="120"/>
      <c r="AU10" s="120"/>
      <c r="AV10" s="116"/>
      <c r="AW10" s="116"/>
      <c r="AX10" s="120"/>
      <c r="AY10" s="120"/>
      <c r="AZ10" s="90"/>
    </row>
    <row r="11" spans="1:52" x14ac:dyDescent="0.25">
      <c r="A11" s="84" t="s">
        <v>8</v>
      </c>
      <c r="B11" s="93"/>
      <c r="C11" s="85">
        <v>2</v>
      </c>
      <c r="D11" s="85"/>
      <c r="E11" s="85"/>
      <c r="F11" s="85"/>
      <c r="G11" s="100"/>
      <c r="H11" s="85">
        <v>0.4</v>
      </c>
      <c r="I11" s="85"/>
      <c r="J11" s="85"/>
      <c r="K11" s="104">
        <v>18.399999999999999</v>
      </c>
      <c r="L11" s="94"/>
      <c r="M11" s="105">
        <v>15</v>
      </c>
      <c r="N11" s="106">
        <v>0.6</v>
      </c>
      <c r="O11" s="85"/>
      <c r="P11" s="108">
        <v>4</v>
      </c>
      <c r="Q11" s="94">
        <v>1.5</v>
      </c>
      <c r="R11" s="105">
        <v>1.6</v>
      </c>
      <c r="S11" s="106"/>
      <c r="T11" s="106"/>
      <c r="U11" s="85">
        <v>0.31</v>
      </c>
      <c r="V11" s="104"/>
      <c r="W11" s="85"/>
      <c r="X11" s="116">
        <v>3</v>
      </c>
      <c r="Y11" s="85"/>
      <c r="Z11" s="85"/>
      <c r="AA11" s="85"/>
      <c r="AB11" s="85"/>
      <c r="AC11" s="85"/>
      <c r="AD11" s="85"/>
      <c r="AE11" s="85"/>
      <c r="AF11" s="116"/>
      <c r="AG11" s="85">
        <v>5.5</v>
      </c>
      <c r="AH11" s="107">
        <v>4.34</v>
      </c>
      <c r="AI11" s="107">
        <v>0.65</v>
      </c>
      <c r="AJ11" s="117"/>
      <c r="AK11" s="106"/>
      <c r="AL11" s="106"/>
      <c r="AM11" s="106"/>
      <c r="AN11" s="120"/>
      <c r="AO11" s="120">
        <v>4.4000000000000004</v>
      </c>
      <c r="AP11" s="120"/>
      <c r="AQ11" s="104"/>
      <c r="AR11" s="104"/>
      <c r="AS11" s="120"/>
      <c r="AT11" s="120"/>
      <c r="AU11" s="120"/>
      <c r="AV11" s="116"/>
      <c r="AW11" s="116"/>
      <c r="AX11" s="120">
        <v>3.67</v>
      </c>
      <c r="AY11" s="120"/>
      <c r="AZ11" s="90"/>
    </row>
    <row r="12" spans="1:52" x14ac:dyDescent="0.25">
      <c r="A12" s="84" t="s">
        <v>9</v>
      </c>
      <c r="B12" s="93"/>
      <c r="C12" s="85"/>
      <c r="D12" s="85"/>
      <c r="E12" s="85"/>
      <c r="F12" s="85"/>
      <c r="G12" s="100"/>
      <c r="H12" s="85"/>
      <c r="I12" s="85"/>
      <c r="J12" s="85"/>
      <c r="K12" s="104"/>
      <c r="L12" s="94"/>
      <c r="M12" s="105"/>
      <c r="N12" s="106"/>
      <c r="O12" s="85"/>
      <c r="P12" s="85"/>
      <c r="Q12" s="94"/>
      <c r="R12" s="105"/>
      <c r="S12" s="106">
        <v>0.02</v>
      </c>
      <c r="T12" s="106"/>
      <c r="U12" s="85"/>
      <c r="V12" s="104"/>
      <c r="W12" s="85"/>
      <c r="X12" s="116"/>
      <c r="Y12" s="85"/>
      <c r="Z12" s="85"/>
      <c r="AA12" s="85"/>
      <c r="AB12" s="85"/>
      <c r="AC12" s="85"/>
      <c r="AD12" s="85"/>
      <c r="AE12" s="85"/>
      <c r="AF12" s="116"/>
      <c r="AG12" s="85"/>
      <c r="AH12" s="107"/>
      <c r="AI12" s="107"/>
      <c r="AJ12" s="117"/>
      <c r="AK12" s="106"/>
      <c r="AL12" s="106"/>
      <c r="AM12" s="106"/>
      <c r="AN12" s="120"/>
      <c r="AO12" s="120"/>
      <c r="AP12" s="120"/>
      <c r="AQ12" s="104"/>
      <c r="AR12" s="104"/>
      <c r="AS12" s="120"/>
      <c r="AT12" s="120">
        <v>0.4</v>
      </c>
      <c r="AU12" s="120"/>
      <c r="AV12" s="116"/>
      <c r="AW12" s="116"/>
      <c r="AX12" s="120"/>
      <c r="AY12" s="120"/>
      <c r="AZ12" s="90"/>
    </row>
    <row r="13" spans="1:52" x14ac:dyDescent="0.25">
      <c r="A13" s="84" t="s">
        <v>10</v>
      </c>
      <c r="B13" s="93"/>
      <c r="C13" s="85"/>
      <c r="D13" s="85"/>
      <c r="E13" s="85"/>
      <c r="F13" s="85"/>
      <c r="G13" s="100"/>
      <c r="H13" s="85"/>
      <c r="I13" s="85"/>
      <c r="J13" s="85"/>
      <c r="K13" s="104"/>
      <c r="L13" s="94"/>
      <c r="M13" s="105"/>
      <c r="N13" s="106"/>
      <c r="O13" s="85"/>
      <c r="P13" s="85"/>
      <c r="Q13" s="94"/>
      <c r="R13" s="105"/>
      <c r="S13" s="106">
        <v>0.9</v>
      </c>
      <c r="T13" s="106"/>
      <c r="U13" s="85"/>
      <c r="V13" s="104"/>
      <c r="W13" s="85"/>
      <c r="X13" s="116"/>
      <c r="Y13" s="85"/>
      <c r="Z13" s="85"/>
      <c r="AA13" s="85"/>
      <c r="AB13" s="85"/>
      <c r="AC13" s="85"/>
      <c r="AD13" s="85"/>
      <c r="AE13" s="85"/>
      <c r="AF13" s="116"/>
      <c r="AG13" s="85"/>
      <c r="AH13" s="107"/>
      <c r="AI13" s="107"/>
      <c r="AJ13" s="117"/>
      <c r="AK13" s="106"/>
      <c r="AL13" s="106"/>
      <c r="AM13" s="106">
        <v>0.2</v>
      </c>
      <c r="AN13" s="120"/>
      <c r="AO13" s="120"/>
      <c r="AP13" s="120"/>
      <c r="AQ13" s="104"/>
      <c r="AR13" s="104"/>
      <c r="AS13" s="120"/>
      <c r="AT13" s="120"/>
      <c r="AU13" s="120"/>
      <c r="AV13" s="116"/>
      <c r="AW13" s="116"/>
      <c r="AX13" s="120"/>
      <c r="AY13" s="120"/>
      <c r="AZ13" s="90"/>
    </row>
    <row r="14" spans="1:52" x14ac:dyDescent="0.25">
      <c r="A14" s="84" t="s">
        <v>11</v>
      </c>
      <c r="B14" s="93"/>
      <c r="C14" s="85">
        <v>2.0019999999999998</v>
      </c>
      <c r="D14" s="85"/>
      <c r="E14" s="85">
        <v>3.0000000000000001E-3</v>
      </c>
      <c r="F14" s="85"/>
      <c r="G14" s="100">
        <v>1.9E-2</v>
      </c>
      <c r="H14" s="85">
        <v>0.02</v>
      </c>
      <c r="I14" s="85">
        <v>5.0000000000000001E-3</v>
      </c>
      <c r="J14" s="85">
        <v>0.02</v>
      </c>
      <c r="K14" s="104">
        <v>1.2E-2</v>
      </c>
      <c r="L14" s="94">
        <v>4.048</v>
      </c>
      <c r="M14" s="105"/>
      <c r="N14" s="106"/>
      <c r="O14" s="85"/>
      <c r="P14" s="108">
        <v>4.0000000000000001E-3</v>
      </c>
      <c r="Q14" s="94">
        <v>3.5999999999999997E-2</v>
      </c>
      <c r="R14" s="105">
        <v>0.311</v>
      </c>
      <c r="S14" s="106">
        <v>2.2120000000000002</v>
      </c>
      <c r="T14" s="106">
        <v>0.3</v>
      </c>
      <c r="U14" s="85">
        <v>3.0000000000000001E-3</v>
      </c>
      <c r="V14" s="104"/>
      <c r="W14" s="85">
        <v>1.4999999999999999E-2</v>
      </c>
      <c r="X14" s="116"/>
      <c r="Y14" s="85">
        <v>0.42099999999999999</v>
      </c>
      <c r="Z14" s="85">
        <v>0.8</v>
      </c>
      <c r="AA14" s="85">
        <v>7.2999999999999995E-2</v>
      </c>
      <c r="AB14" s="85">
        <v>1.0999999999999999E-2</v>
      </c>
      <c r="AC14" s="85"/>
      <c r="AD14" s="85"/>
      <c r="AE14" s="85"/>
      <c r="AF14" s="116">
        <v>5.0000000000000001E-3</v>
      </c>
      <c r="AG14" s="85">
        <v>0.10299999999999999</v>
      </c>
      <c r="AH14" s="107">
        <v>0.14000000000000001</v>
      </c>
      <c r="AI14" s="107">
        <v>0.32900000000000001</v>
      </c>
      <c r="AJ14" s="117">
        <v>5.0000000000000001E-3</v>
      </c>
      <c r="AK14" s="106">
        <v>6.0110000000000001</v>
      </c>
      <c r="AL14" s="106">
        <v>1.4E-2</v>
      </c>
      <c r="AM14" s="106">
        <v>4.5999999999999999E-2</v>
      </c>
      <c r="AN14" s="120"/>
      <c r="AO14" s="120"/>
      <c r="AP14" s="120"/>
      <c r="AQ14" s="104"/>
      <c r="AR14" s="104">
        <v>0.2</v>
      </c>
      <c r="AS14" s="120"/>
      <c r="AT14" s="120">
        <v>3.0000000000000001E-3</v>
      </c>
      <c r="AU14" s="120"/>
      <c r="AV14" s="116"/>
      <c r="AW14" s="116"/>
      <c r="AX14" s="120"/>
      <c r="AY14" s="120">
        <v>2E-3</v>
      </c>
      <c r="AZ14" s="90">
        <v>2.3E-2</v>
      </c>
    </row>
    <row r="15" spans="1:52" x14ac:dyDescent="0.25">
      <c r="A15" s="84" t="s">
        <v>12</v>
      </c>
      <c r="B15" s="93"/>
      <c r="C15" s="85">
        <v>0.5</v>
      </c>
      <c r="D15" s="85"/>
      <c r="E15" s="85"/>
      <c r="F15" s="85"/>
      <c r="G15" s="100">
        <v>1.538</v>
      </c>
      <c r="H15" s="85"/>
      <c r="I15" s="85">
        <v>0.85099999999999998</v>
      </c>
      <c r="J15" s="85">
        <v>2.1160000000000001</v>
      </c>
      <c r="K15" s="104">
        <v>2E-3</v>
      </c>
      <c r="L15" s="94">
        <v>0.05</v>
      </c>
      <c r="M15" s="105">
        <v>2</v>
      </c>
      <c r="N15" s="106">
        <v>0.17199999999999999</v>
      </c>
      <c r="O15" s="85"/>
      <c r="P15" s="108">
        <v>0.96</v>
      </c>
      <c r="Q15" s="94">
        <v>8.1609999999999996</v>
      </c>
      <c r="R15" s="105">
        <v>1E-3</v>
      </c>
      <c r="S15" s="106">
        <v>5.0000000000000001E-3</v>
      </c>
      <c r="T15" s="106"/>
      <c r="U15" s="85">
        <v>9.173</v>
      </c>
      <c r="V15" s="104"/>
      <c r="W15" s="85"/>
      <c r="X15" s="116">
        <v>0.2</v>
      </c>
      <c r="Y15" s="85">
        <v>0.40699999999999997</v>
      </c>
      <c r="Z15" s="85"/>
      <c r="AA15" s="85">
        <v>1.4999999999999999E-2</v>
      </c>
      <c r="AB15" s="85">
        <v>2E-3</v>
      </c>
      <c r="AC15" s="85"/>
      <c r="AD15" s="85"/>
      <c r="AE15" s="85">
        <v>0.6</v>
      </c>
      <c r="AF15" s="116">
        <v>0.33</v>
      </c>
      <c r="AG15" s="85">
        <v>1.2010000000000001</v>
      </c>
      <c r="AH15" s="107">
        <v>1E-3</v>
      </c>
      <c r="AI15" s="107">
        <v>0.10199999999999999</v>
      </c>
      <c r="AJ15" s="117">
        <v>1.0289999999999999</v>
      </c>
      <c r="AK15" s="106"/>
      <c r="AL15" s="106">
        <v>3.0000000000000001E-3</v>
      </c>
      <c r="AM15" s="106">
        <v>6.0000000000000001E-3</v>
      </c>
      <c r="AN15" s="120"/>
      <c r="AO15" s="120">
        <v>0.3</v>
      </c>
      <c r="AP15" s="120"/>
      <c r="AQ15" s="104"/>
      <c r="AR15" s="104"/>
      <c r="AS15" s="120"/>
      <c r="AT15" s="120">
        <v>2.7E-2</v>
      </c>
      <c r="AU15" s="120"/>
      <c r="AV15" s="116"/>
      <c r="AW15" s="116">
        <v>0.6</v>
      </c>
      <c r="AX15" s="120">
        <v>1.48</v>
      </c>
      <c r="AY15" s="120">
        <v>0.114</v>
      </c>
      <c r="AZ15" s="90">
        <v>1.702</v>
      </c>
    </row>
    <row r="16" spans="1:52" x14ac:dyDescent="0.25">
      <c r="A16" s="84" t="s">
        <v>13</v>
      </c>
      <c r="B16" s="93"/>
      <c r="C16" s="85"/>
      <c r="D16" s="85"/>
      <c r="E16" s="85"/>
      <c r="F16" s="85">
        <v>12</v>
      </c>
      <c r="G16" s="100"/>
      <c r="H16" s="85"/>
      <c r="I16" s="85"/>
      <c r="J16" s="85">
        <v>2</v>
      </c>
      <c r="K16" s="104">
        <v>0.5</v>
      </c>
      <c r="L16" s="94"/>
      <c r="M16" s="105"/>
      <c r="N16" s="106">
        <v>7</v>
      </c>
      <c r="O16" s="85"/>
      <c r="P16" s="107">
        <v>6</v>
      </c>
      <c r="Q16" s="94"/>
      <c r="R16" s="105"/>
      <c r="S16" s="106">
        <v>0.2</v>
      </c>
      <c r="T16" s="106"/>
      <c r="U16" s="85">
        <v>2.8</v>
      </c>
      <c r="V16" s="104"/>
      <c r="W16" s="85"/>
      <c r="X16" s="116">
        <v>0.3</v>
      </c>
      <c r="Y16" s="85"/>
      <c r="Z16" s="85"/>
      <c r="AA16" s="85">
        <v>0.1</v>
      </c>
      <c r="AB16" s="85"/>
      <c r="AC16" s="85"/>
      <c r="AD16" s="85"/>
      <c r="AE16" s="85"/>
      <c r="AF16" s="116"/>
      <c r="AG16" s="85">
        <v>9</v>
      </c>
      <c r="AH16" s="107">
        <v>0.21</v>
      </c>
      <c r="AI16" s="107">
        <v>0.5</v>
      </c>
      <c r="AJ16" s="117"/>
      <c r="AK16" s="106"/>
      <c r="AL16" s="106"/>
      <c r="AM16" s="106">
        <v>0.4</v>
      </c>
      <c r="AN16" s="120">
        <v>0.4</v>
      </c>
      <c r="AO16" s="120">
        <v>0.1</v>
      </c>
      <c r="AP16" s="120"/>
      <c r="AQ16" s="104"/>
      <c r="AR16" s="104">
        <v>1E-3</v>
      </c>
      <c r="AS16" s="120"/>
      <c r="AT16" s="120"/>
      <c r="AU16" s="120"/>
      <c r="AV16" s="116"/>
      <c r="AW16" s="116"/>
      <c r="AX16" s="120">
        <v>0.1</v>
      </c>
      <c r="AY16" s="120">
        <v>0.1</v>
      </c>
      <c r="AZ16" s="90"/>
    </row>
    <row r="17" spans="1:52" x14ac:dyDescent="0.25">
      <c r="A17" s="84" t="s">
        <v>14</v>
      </c>
      <c r="B17" s="93"/>
      <c r="C17" s="85"/>
      <c r="D17" s="85"/>
      <c r="E17" s="85"/>
      <c r="F17" s="85"/>
      <c r="G17" s="100"/>
      <c r="H17" s="85"/>
      <c r="I17" s="85"/>
      <c r="J17" s="85">
        <v>2.6</v>
      </c>
      <c r="K17" s="104"/>
      <c r="L17" s="94"/>
      <c r="M17" s="105"/>
      <c r="N17" s="106">
        <v>0.03</v>
      </c>
      <c r="O17" s="85"/>
      <c r="P17" s="107">
        <v>0.45</v>
      </c>
      <c r="Q17" s="94">
        <v>0.7</v>
      </c>
      <c r="R17" s="105"/>
      <c r="S17" s="106">
        <v>1.9159999999999999</v>
      </c>
      <c r="T17" s="106"/>
      <c r="U17" s="85">
        <v>5.1999999999999998E-2</v>
      </c>
      <c r="V17" s="104"/>
      <c r="W17" s="85"/>
      <c r="X17" s="116">
        <v>0.03</v>
      </c>
      <c r="Y17" s="85"/>
      <c r="Z17" s="85"/>
      <c r="AA17" s="85"/>
      <c r="AB17" s="85"/>
      <c r="AC17" s="85"/>
      <c r="AD17" s="85"/>
      <c r="AE17" s="85"/>
      <c r="AF17" s="116"/>
      <c r="AG17" s="85">
        <v>1</v>
      </c>
      <c r="AH17" s="107"/>
      <c r="AI17" s="107"/>
      <c r="AJ17" s="117"/>
      <c r="AK17" s="106"/>
      <c r="AL17" s="106"/>
      <c r="AM17" s="106">
        <v>0.09</v>
      </c>
      <c r="AN17" s="120">
        <v>3.4000000000000002E-2</v>
      </c>
      <c r="AO17" s="120"/>
      <c r="AP17" s="120">
        <v>0.1</v>
      </c>
      <c r="AQ17" s="104"/>
      <c r="AR17" s="104">
        <v>1E-3</v>
      </c>
      <c r="AS17" s="120"/>
      <c r="AT17" s="120">
        <v>1.194</v>
      </c>
      <c r="AU17" s="120"/>
      <c r="AV17" s="116"/>
      <c r="AW17" s="116"/>
      <c r="AX17" s="120">
        <v>0.1</v>
      </c>
      <c r="AY17" s="120"/>
      <c r="AZ17" s="90"/>
    </row>
    <row r="18" spans="1:52" x14ac:dyDescent="0.25">
      <c r="A18" s="84" t="s">
        <v>239</v>
      </c>
      <c r="B18" s="93"/>
      <c r="C18" s="85"/>
      <c r="D18" s="85"/>
      <c r="E18" s="85"/>
      <c r="F18" s="85"/>
      <c r="G18" s="100"/>
      <c r="H18" s="85"/>
      <c r="I18" s="85"/>
      <c r="J18" s="85">
        <v>2E-3</v>
      </c>
      <c r="K18" s="104"/>
      <c r="L18" s="94"/>
      <c r="M18" s="105"/>
      <c r="N18" s="106"/>
      <c r="O18" s="85"/>
      <c r="P18" s="107"/>
      <c r="Q18" s="94"/>
      <c r="R18" s="105"/>
      <c r="S18" s="106"/>
      <c r="T18" s="106"/>
      <c r="U18" s="85"/>
      <c r="V18" s="104"/>
      <c r="W18" s="85"/>
      <c r="X18" s="116"/>
      <c r="Y18" s="85"/>
      <c r="Z18" s="85"/>
      <c r="AA18" s="85"/>
      <c r="AB18" s="85"/>
      <c r="AC18" s="85"/>
      <c r="AD18" s="85"/>
      <c r="AE18" s="85"/>
      <c r="AF18" s="116"/>
      <c r="AG18" s="85"/>
      <c r="AH18" s="107"/>
      <c r="AI18" s="107"/>
      <c r="AJ18" s="117"/>
      <c r="AK18" s="106"/>
      <c r="AL18" s="106"/>
      <c r="AM18" s="106"/>
      <c r="AN18" s="120"/>
      <c r="AO18" s="120"/>
      <c r="AP18" s="120"/>
      <c r="AQ18" s="104"/>
      <c r="AR18" s="104"/>
      <c r="AS18" s="120"/>
      <c r="AT18" s="120"/>
      <c r="AU18" s="120"/>
      <c r="AV18" s="116"/>
      <c r="AW18" s="116"/>
      <c r="AX18" s="120"/>
      <c r="AY18" s="120"/>
      <c r="AZ18" s="90"/>
    </row>
    <row r="19" spans="1:52" x14ac:dyDescent="0.25">
      <c r="A19" s="84" t="s">
        <v>15</v>
      </c>
      <c r="B19" s="93"/>
      <c r="C19" s="85"/>
      <c r="D19" s="85"/>
      <c r="E19" s="85"/>
      <c r="F19" s="85"/>
      <c r="G19" s="100"/>
      <c r="H19" s="85"/>
      <c r="I19" s="85"/>
      <c r="J19" s="85"/>
      <c r="K19" s="104"/>
      <c r="L19" s="94"/>
      <c r="M19" s="105"/>
      <c r="N19" s="106"/>
      <c r="O19" s="85"/>
      <c r="P19" s="107"/>
      <c r="Q19" s="94"/>
      <c r="R19" s="105"/>
      <c r="S19" s="106"/>
      <c r="T19" s="106"/>
      <c r="U19" s="85">
        <v>6.0000000000000001E-3</v>
      </c>
      <c r="V19" s="104"/>
      <c r="W19" s="85"/>
      <c r="X19" s="116"/>
      <c r="Y19" s="85"/>
      <c r="Z19" s="85"/>
      <c r="AA19" s="85"/>
      <c r="AB19" s="85"/>
      <c r="AC19" s="85"/>
      <c r="AD19" s="85"/>
      <c r="AE19" s="85"/>
      <c r="AF19" s="116"/>
      <c r="AG19" s="85"/>
      <c r="AH19" s="107"/>
      <c r="AI19" s="107"/>
      <c r="AJ19" s="117"/>
      <c r="AK19" s="106"/>
      <c r="AL19" s="106"/>
      <c r="AM19" s="106"/>
      <c r="AN19" s="120"/>
      <c r="AO19" s="120"/>
      <c r="AP19" s="120"/>
      <c r="AQ19" s="104"/>
      <c r="AR19" s="104"/>
      <c r="AS19" s="120"/>
      <c r="AT19" s="120"/>
      <c r="AU19" s="120"/>
      <c r="AV19" s="116"/>
      <c r="AW19" s="116"/>
      <c r="AX19" s="120"/>
      <c r="AY19" s="120"/>
      <c r="AZ19" s="90"/>
    </row>
    <row r="20" spans="1:52" x14ac:dyDescent="0.25">
      <c r="A20" s="84" t="s">
        <v>16</v>
      </c>
      <c r="B20" s="93"/>
      <c r="C20" s="85">
        <v>1.2</v>
      </c>
      <c r="D20" s="85"/>
      <c r="E20" s="85"/>
      <c r="F20" s="85"/>
      <c r="G20" s="100">
        <v>0.77400000000000002</v>
      </c>
      <c r="H20" s="85">
        <v>2E-3</v>
      </c>
      <c r="I20" s="85">
        <v>0.55100000000000005</v>
      </c>
      <c r="J20" s="85">
        <v>2.38</v>
      </c>
      <c r="K20" s="104">
        <v>2E-3</v>
      </c>
      <c r="L20" s="94">
        <v>9.5000000000000001E-2</v>
      </c>
      <c r="M20" s="105">
        <v>3</v>
      </c>
      <c r="N20" s="106">
        <v>1.7999999999999999E-2</v>
      </c>
      <c r="O20" s="85"/>
      <c r="P20" s="107">
        <v>0.498</v>
      </c>
      <c r="Q20" s="94">
        <v>2.9860000000000002</v>
      </c>
      <c r="R20" s="105">
        <v>0.40100000000000002</v>
      </c>
      <c r="S20" s="106">
        <v>0.32500000000000001</v>
      </c>
      <c r="T20" s="106"/>
      <c r="U20" s="85">
        <v>2.6509999999999998</v>
      </c>
      <c r="V20" s="104"/>
      <c r="W20" s="85"/>
      <c r="X20" s="116"/>
      <c r="Y20" s="85">
        <v>9.1999999999999998E-2</v>
      </c>
      <c r="Z20" s="85"/>
      <c r="AA20" s="85">
        <v>2E-3</v>
      </c>
      <c r="AB20" s="85">
        <v>2E-3</v>
      </c>
      <c r="AC20" s="85"/>
      <c r="AD20" s="85"/>
      <c r="AE20" s="85">
        <v>1.3</v>
      </c>
      <c r="AF20" s="116">
        <v>0.871</v>
      </c>
      <c r="AG20" s="85"/>
      <c r="AH20" s="107">
        <v>3.0000000000000001E-3</v>
      </c>
      <c r="AI20" s="107">
        <v>3.0000000000000001E-3</v>
      </c>
      <c r="AJ20" s="117">
        <v>0.59499999999999997</v>
      </c>
      <c r="AK20" s="106"/>
      <c r="AL20" s="106">
        <v>3.0000000000000001E-3</v>
      </c>
      <c r="AM20" s="106">
        <v>0.11899999999999999</v>
      </c>
      <c r="AN20" s="120">
        <v>7.0000000000000001E-3</v>
      </c>
      <c r="AO20" s="120"/>
      <c r="AP20" s="120"/>
      <c r="AQ20" s="104"/>
      <c r="AR20" s="104">
        <v>0.42</v>
      </c>
      <c r="AS20" s="120">
        <v>0.55000000000000004</v>
      </c>
      <c r="AT20" s="120">
        <v>4.2000000000000003E-2</v>
      </c>
      <c r="AU20" s="120"/>
      <c r="AV20" s="116"/>
      <c r="AW20" s="116"/>
      <c r="AX20" s="120"/>
      <c r="AY20" s="120">
        <v>5.1999999999999998E-2</v>
      </c>
      <c r="AZ20" s="90">
        <v>2E-3</v>
      </c>
    </row>
    <row r="21" spans="1:52" x14ac:dyDescent="0.25">
      <c r="A21" s="84" t="s">
        <v>17</v>
      </c>
      <c r="B21" s="93"/>
      <c r="C21" s="85"/>
      <c r="D21" s="85"/>
      <c r="E21" s="85"/>
      <c r="F21" s="85"/>
      <c r="G21" s="100"/>
      <c r="H21" s="85"/>
      <c r="I21" s="85">
        <v>8.8000000000000007</v>
      </c>
      <c r="J21" s="85">
        <v>10.4</v>
      </c>
      <c r="K21" s="104"/>
      <c r="L21" s="94">
        <v>6.4</v>
      </c>
      <c r="M21" s="105"/>
      <c r="N21" s="106"/>
      <c r="O21" s="85"/>
      <c r="P21" s="107"/>
      <c r="Q21" s="94">
        <v>6</v>
      </c>
      <c r="R21" s="105"/>
      <c r="S21" s="106">
        <v>8.3000000000000007</v>
      </c>
      <c r="T21" s="106"/>
      <c r="U21" s="85"/>
      <c r="V21" s="108">
        <v>4.2</v>
      </c>
      <c r="W21" s="85"/>
      <c r="X21" s="116"/>
      <c r="Y21" s="85"/>
      <c r="Z21" s="85"/>
      <c r="AA21" s="85"/>
      <c r="AB21" s="85"/>
      <c r="AC21" s="85"/>
      <c r="AD21" s="85"/>
      <c r="AE21" s="85"/>
      <c r="AF21" s="116">
        <v>2.1</v>
      </c>
      <c r="AG21" s="85"/>
      <c r="AH21" s="107"/>
      <c r="AI21" s="107">
        <v>2.8</v>
      </c>
      <c r="AJ21" s="117"/>
      <c r="AK21" s="106"/>
      <c r="AL21" s="106"/>
      <c r="AM21" s="106"/>
      <c r="AN21" s="120">
        <v>2</v>
      </c>
      <c r="AO21" s="120"/>
      <c r="AP21" s="120"/>
      <c r="AQ21" s="121"/>
      <c r="AR21" s="104">
        <v>0.5</v>
      </c>
      <c r="AS21" s="120"/>
      <c r="AT21" s="120"/>
      <c r="AU21" s="120"/>
      <c r="AV21" s="116"/>
      <c r="AW21" s="116"/>
      <c r="AX21" s="120">
        <v>9.26</v>
      </c>
      <c r="AY21" s="120"/>
      <c r="AZ21" s="90"/>
    </row>
    <row r="22" spans="1:52" x14ac:dyDescent="0.25">
      <c r="A22" s="84" t="s">
        <v>18</v>
      </c>
      <c r="B22" s="93"/>
      <c r="C22" s="85"/>
      <c r="D22" s="85"/>
      <c r="E22" s="85"/>
      <c r="F22" s="85"/>
      <c r="G22" s="100">
        <v>0.6</v>
      </c>
      <c r="H22" s="85"/>
      <c r="I22" s="85"/>
      <c r="J22" s="85">
        <v>0.2</v>
      </c>
      <c r="K22" s="104"/>
      <c r="L22" s="94"/>
      <c r="M22" s="105"/>
      <c r="N22" s="106"/>
      <c r="O22" s="85"/>
      <c r="P22" s="107"/>
      <c r="Q22" s="94"/>
      <c r="R22" s="105"/>
      <c r="S22" s="106"/>
      <c r="T22" s="106"/>
      <c r="U22" s="85"/>
      <c r="V22" s="104"/>
      <c r="W22" s="85"/>
      <c r="X22" s="116"/>
      <c r="Y22" s="85"/>
      <c r="Z22" s="85"/>
      <c r="AA22" s="85"/>
      <c r="AB22" s="85"/>
      <c r="AC22" s="85"/>
      <c r="AD22" s="85"/>
      <c r="AE22" s="85"/>
      <c r="AF22" s="116"/>
      <c r="AG22" s="85"/>
      <c r="AH22" s="107">
        <v>0.98</v>
      </c>
      <c r="AI22" s="107"/>
      <c r="AJ22" s="117"/>
      <c r="AK22" s="106"/>
      <c r="AL22" s="106"/>
      <c r="AM22" s="106"/>
      <c r="AN22" s="120"/>
      <c r="AO22" s="120">
        <v>0.6</v>
      </c>
      <c r="AP22" s="120"/>
      <c r="AQ22" s="104"/>
      <c r="AR22" s="104">
        <v>0.06</v>
      </c>
      <c r="AS22" s="120"/>
      <c r="AT22" s="120"/>
      <c r="AU22" s="120"/>
      <c r="AV22" s="116"/>
      <c r="AW22" s="116"/>
      <c r="AX22" s="120"/>
      <c r="AY22" s="120"/>
      <c r="AZ22" s="90"/>
    </row>
    <row r="23" spans="1:52" x14ac:dyDescent="0.25">
      <c r="A23" s="84" t="s">
        <v>19</v>
      </c>
      <c r="B23" s="93"/>
      <c r="C23" s="85"/>
      <c r="D23" s="85"/>
      <c r="E23" s="85"/>
      <c r="F23" s="85"/>
      <c r="G23" s="100"/>
      <c r="H23" s="85"/>
      <c r="I23" s="85"/>
      <c r="J23" s="85">
        <v>0.04</v>
      </c>
      <c r="K23" s="104"/>
      <c r="L23" s="94"/>
      <c r="M23" s="105"/>
      <c r="N23" s="106"/>
      <c r="O23" s="85"/>
      <c r="P23" s="107"/>
      <c r="Q23" s="94"/>
      <c r="R23" s="105"/>
      <c r="S23" s="106">
        <v>1E-3</v>
      </c>
      <c r="T23" s="106"/>
      <c r="U23" s="85"/>
      <c r="V23" s="104"/>
      <c r="W23" s="85"/>
      <c r="X23" s="116"/>
      <c r="Y23" s="85"/>
      <c r="Z23" s="85"/>
      <c r="AA23" s="85"/>
      <c r="AB23" s="85"/>
      <c r="AC23" s="85"/>
      <c r="AD23" s="85"/>
      <c r="AE23" s="85"/>
      <c r="AF23" s="116"/>
      <c r="AG23" s="85"/>
      <c r="AH23" s="107"/>
      <c r="AI23" s="107"/>
      <c r="AJ23" s="117"/>
      <c r="AK23" s="106"/>
      <c r="AL23" s="106"/>
      <c r="AM23" s="106"/>
      <c r="AN23" s="120"/>
      <c r="AO23" s="120"/>
      <c r="AP23" s="120"/>
      <c r="AQ23" s="104"/>
      <c r="AR23" s="122"/>
      <c r="AS23" s="120"/>
      <c r="AT23" s="120">
        <v>1E-3</v>
      </c>
      <c r="AU23" s="120"/>
      <c r="AV23" s="116"/>
      <c r="AW23" s="116"/>
      <c r="AX23" s="120"/>
      <c r="AY23" s="120"/>
      <c r="AZ23" s="90"/>
    </row>
    <row r="24" spans="1:52" x14ac:dyDescent="0.25">
      <c r="A24" s="84" t="s">
        <v>20</v>
      </c>
      <c r="B24" s="93"/>
      <c r="C24" s="85">
        <v>1.5409999999999999</v>
      </c>
      <c r="D24" s="85"/>
      <c r="E24" s="85">
        <v>0.34200000000000003</v>
      </c>
      <c r="F24" s="85"/>
      <c r="G24" s="100">
        <v>1.3580000000000001</v>
      </c>
      <c r="H24" s="85">
        <v>1.02</v>
      </c>
      <c r="I24" s="85">
        <v>3.0529999999999999</v>
      </c>
      <c r="J24" s="85"/>
      <c r="K24" s="104">
        <v>7.25</v>
      </c>
      <c r="L24" s="94">
        <v>6.72</v>
      </c>
      <c r="M24" s="105">
        <v>9.6000000000000002E-2</v>
      </c>
      <c r="N24" s="106">
        <v>0.28899999999999998</v>
      </c>
      <c r="O24" s="85"/>
      <c r="P24" s="107"/>
      <c r="Q24" s="94">
        <v>1.8320000000000001</v>
      </c>
      <c r="R24" s="105">
        <v>3.9540000000000002</v>
      </c>
      <c r="S24" s="106">
        <v>8.7949999999999999</v>
      </c>
      <c r="T24" s="106">
        <v>2.88</v>
      </c>
      <c r="U24" s="85">
        <v>2E-3</v>
      </c>
      <c r="V24" s="104"/>
      <c r="W24" s="85">
        <v>0.47599999999999998</v>
      </c>
      <c r="X24" s="116"/>
      <c r="Y24" s="85">
        <v>3.8250000000000002</v>
      </c>
      <c r="Z24" s="85"/>
      <c r="AA24" s="85">
        <v>1.119</v>
      </c>
      <c r="AB24" s="85">
        <v>6.6779999999999999</v>
      </c>
      <c r="AC24" s="85">
        <v>4.423</v>
      </c>
      <c r="AD24" s="85"/>
      <c r="AE24" s="85"/>
      <c r="AF24" s="116"/>
      <c r="AG24" s="85">
        <v>1.7170000000000001</v>
      </c>
      <c r="AH24" s="107">
        <v>4.84</v>
      </c>
      <c r="AI24" s="107">
        <v>6.8129999999999997</v>
      </c>
      <c r="AJ24" s="117"/>
      <c r="AK24" s="106">
        <v>7.0670000000000002</v>
      </c>
      <c r="AL24" s="106">
        <v>8.5860000000000003</v>
      </c>
      <c r="AM24" s="106">
        <v>0.621</v>
      </c>
      <c r="AN24" s="120"/>
      <c r="AO24" s="120"/>
      <c r="AP24" s="120"/>
      <c r="AQ24" s="104"/>
      <c r="AR24" s="104">
        <v>2.77</v>
      </c>
      <c r="AS24" s="120"/>
      <c r="AT24" s="120">
        <v>4.7039999999999997</v>
      </c>
      <c r="AU24" s="120"/>
      <c r="AV24" s="116"/>
      <c r="AW24" s="116"/>
      <c r="AX24" s="120"/>
      <c r="AY24" s="120">
        <v>1.4999999999999999E-2</v>
      </c>
      <c r="AZ24" s="90">
        <v>5.7789999999999999</v>
      </c>
    </row>
    <row r="25" spans="1:52" x14ac:dyDescent="0.25">
      <c r="A25" s="84" t="s">
        <v>21</v>
      </c>
      <c r="B25" s="93"/>
      <c r="C25" s="85">
        <v>4.0039999999999996</v>
      </c>
      <c r="D25" s="85">
        <v>3.8</v>
      </c>
      <c r="E25" s="85">
        <v>1E-3</v>
      </c>
      <c r="F25" s="85"/>
      <c r="G25" s="100">
        <v>2.9990000000000001</v>
      </c>
      <c r="H25" s="85">
        <v>1.9990000000000001</v>
      </c>
      <c r="I25" s="85">
        <v>1.4139999999999999</v>
      </c>
      <c r="J25" s="85">
        <v>2.8029999999999999</v>
      </c>
      <c r="K25" s="104">
        <v>1.4339999999999999</v>
      </c>
      <c r="L25" s="94">
        <v>0.64</v>
      </c>
      <c r="M25" s="105">
        <v>3.2000000000000001E-2</v>
      </c>
      <c r="N25" s="106">
        <v>0.34899999999999998</v>
      </c>
      <c r="O25" s="85"/>
      <c r="P25" s="107">
        <v>1.514</v>
      </c>
      <c r="Q25" s="94">
        <v>7.0229999999999997</v>
      </c>
      <c r="R25" s="105">
        <v>7.0129999999999999</v>
      </c>
      <c r="S25" s="106">
        <v>0.499</v>
      </c>
      <c r="T25" s="106">
        <v>6.9980000000000002</v>
      </c>
      <c r="U25" s="85">
        <v>4.1879999999999997</v>
      </c>
      <c r="V25" s="104"/>
      <c r="W25" s="85"/>
      <c r="X25" s="116">
        <v>1.9990000000000001</v>
      </c>
      <c r="Y25" s="85">
        <v>3.0000000000000001E-3</v>
      </c>
      <c r="Z25" s="85"/>
      <c r="AA25" s="85">
        <v>3.609</v>
      </c>
      <c r="AB25" s="85">
        <v>5.8730000000000002</v>
      </c>
      <c r="AC25" s="85">
        <v>1.3</v>
      </c>
      <c r="AD25" s="85"/>
      <c r="AE25" s="85"/>
      <c r="AF25" s="116">
        <v>1.0329999999999999</v>
      </c>
      <c r="AG25" s="85">
        <v>6.7060000000000004</v>
      </c>
      <c r="AH25" s="107">
        <v>3.359</v>
      </c>
      <c r="AI25" s="107">
        <v>0.03</v>
      </c>
      <c r="AJ25" s="117">
        <v>8.4969999999999999</v>
      </c>
      <c r="AK25" s="106"/>
      <c r="AL25" s="106">
        <v>3.2000000000000001E-2</v>
      </c>
      <c r="AM25" s="106">
        <v>1E-3</v>
      </c>
      <c r="AN25" s="120">
        <v>0.11899999999999999</v>
      </c>
      <c r="AO25" s="120">
        <v>1.5</v>
      </c>
      <c r="AP25" s="120"/>
      <c r="AQ25" s="104">
        <v>2E-3</v>
      </c>
      <c r="AR25" s="104">
        <v>1.21</v>
      </c>
      <c r="AS25" s="120">
        <v>0.35</v>
      </c>
      <c r="AT25" s="120"/>
      <c r="AU25" s="120"/>
      <c r="AV25" s="116"/>
      <c r="AW25" s="116">
        <v>1.9990000000000001</v>
      </c>
      <c r="AX25" s="120">
        <v>0.7</v>
      </c>
      <c r="AY25" s="120">
        <v>0.60899999999999999</v>
      </c>
      <c r="AZ25" s="90">
        <v>1.7999999999999999E-2</v>
      </c>
    </row>
    <row r="26" spans="1:52" x14ac:dyDescent="0.25">
      <c r="A26" s="84" t="s">
        <v>22</v>
      </c>
      <c r="B26" s="93"/>
      <c r="C26" s="85"/>
      <c r="D26" s="85"/>
      <c r="E26" s="85"/>
      <c r="F26" s="85"/>
      <c r="G26" s="100"/>
      <c r="H26" s="85"/>
      <c r="I26" s="85"/>
      <c r="J26" s="85">
        <v>1.4E-2</v>
      </c>
      <c r="K26" s="104"/>
      <c r="L26" s="94"/>
      <c r="M26" s="105"/>
      <c r="N26" s="106"/>
      <c r="O26" s="85"/>
      <c r="P26" s="107"/>
      <c r="Q26" s="94"/>
      <c r="R26" s="105"/>
      <c r="S26" s="106"/>
      <c r="T26" s="106"/>
      <c r="U26" s="85"/>
      <c r="V26" s="104"/>
      <c r="W26" s="85"/>
      <c r="X26" s="116"/>
      <c r="Y26" s="85"/>
      <c r="Z26" s="85"/>
      <c r="AA26" s="85"/>
      <c r="AB26" s="85"/>
      <c r="AC26" s="85"/>
      <c r="AD26" s="85"/>
      <c r="AE26" s="85"/>
      <c r="AF26" s="116"/>
      <c r="AG26" s="85"/>
      <c r="AH26" s="107"/>
      <c r="AI26" s="107"/>
      <c r="AJ26" s="117"/>
      <c r="AK26" s="106"/>
      <c r="AL26" s="106"/>
      <c r="AM26" s="106"/>
      <c r="AN26" s="120"/>
      <c r="AO26" s="120"/>
      <c r="AP26" s="120"/>
      <c r="AQ26" s="104"/>
      <c r="AR26" s="104"/>
      <c r="AS26" s="120"/>
      <c r="AT26" s="120"/>
      <c r="AU26" s="120"/>
      <c r="AV26" s="116"/>
      <c r="AW26" s="116">
        <v>5.0000000000000001E-3</v>
      </c>
      <c r="AX26" s="120"/>
      <c r="AY26" s="120"/>
      <c r="AZ26" s="90"/>
    </row>
    <row r="27" spans="1:52" x14ac:dyDescent="0.25">
      <c r="A27" s="86" t="s">
        <v>150</v>
      </c>
      <c r="B27" s="86"/>
      <c r="C27" s="91">
        <v>1</v>
      </c>
      <c r="D27" s="91">
        <v>2</v>
      </c>
      <c r="E27" s="91">
        <v>3</v>
      </c>
      <c r="F27" s="91">
        <v>4</v>
      </c>
      <c r="G27" s="91">
        <v>5</v>
      </c>
      <c r="H27" s="91">
        <v>6</v>
      </c>
      <c r="I27" s="91">
        <v>7</v>
      </c>
      <c r="J27" s="91">
        <v>8</v>
      </c>
      <c r="K27" s="91">
        <v>9</v>
      </c>
      <c r="L27" s="91">
        <v>10</v>
      </c>
      <c r="M27" s="91">
        <v>11</v>
      </c>
      <c r="N27" s="91">
        <v>12</v>
      </c>
      <c r="O27" s="91">
        <v>13</v>
      </c>
      <c r="P27" s="91">
        <v>14</v>
      </c>
      <c r="Q27" s="91">
        <v>15</v>
      </c>
      <c r="R27" s="91">
        <v>16</v>
      </c>
      <c r="S27" s="91">
        <v>17</v>
      </c>
      <c r="T27" s="91">
        <v>18</v>
      </c>
      <c r="U27" s="91">
        <v>19</v>
      </c>
      <c r="V27" s="91">
        <v>20</v>
      </c>
      <c r="W27" s="91">
        <v>21</v>
      </c>
      <c r="X27" s="91">
        <v>22</v>
      </c>
      <c r="Y27" s="91">
        <v>23</v>
      </c>
      <c r="Z27" s="91">
        <v>24</v>
      </c>
      <c r="AA27" s="91">
        <v>25</v>
      </c>
      <c r="AB27" s="91">
        <v>26</v>
      </c>
      <c r="AC27" s="91">
        <v>27</v>
      </c>
      <c r="AD27" s="91">
        <v>28</v>
      </c>
      <c r="AE27" s="91">
        <v>29</v>
      </c>
      <c r="AF27" s="91">
        <v>30</v>
      </c>
      <c r="AG27" s="91">
        <v>31</v>
      </c>
      <c r="AH27" s="91">
        <v>32</v>
      </c>
      <c r="AI27" s="91">
        <v>33</v>
      </c>
      <c r="AJ27" s="91">
        <v>34</v>
      </c>
      <c r="AK27" s="91">
        <v>35</v>
      </c>
      <c r="AL27" s="91">
        <v>36</v>
      </c>
      <c r="AM27" s="91">
        <v>37</v>
      </c>
      <c r="AN27" s="91">
        <v>38</v>
      </c>
      <c r="AO27" s="91">
        <v>39</v>
      </c>
      <c r="AP27" s="91">
        <v>40</v>
      </c>
      <c r="AQ27" s="91">
        <v>41</v>
      </c>
      <c r="AR27" s="91">
        <v>42</v>
      </c>
      <c r="AS27" s="91">
        <v>43</v>
      </c>
      <c r="AT27" s="91">
        <v>44</v>
      </c>
      <c r="AU27" s="91">
        <v>45</v>
      </c>
      <c r="AV27" s="91">
        <v>46</v>
      </c>
      <c r="AW27" s="91">
        <v>47</v>
      </c>
      <c r="AX27" s="91">
        <v>48</v>
      </c>
      <c r="AY27" s="91">
        <v>49</v>
      </c>
      <c r="AZ27" s="86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E376-1B3C-4B33-8565-E8E3D076B611}">
  <dimension ref="A1:A2"/>
  <sheetViews>
    <sheetView workbookViewId="0">
      <selection activeCell="F30" sqref="F30"/>
    </sheetView>
  </sheetViews>
  <sheetFormatPr defaultRowHeight="15" x14ac:dyDescent="0.25"/>
  <sheetData>
    <row r="1" spans="1:1" ht="17.25" x14ac:dyDescent="0.35">
      <c r="A1" s="26" t="s">
        <v>200</v>
      </c>
    </row>
    <row r="2" spans="1:1" ht="17.25" x14ac:dyDescent="0.35">
      <c r="A2" s="26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4684-C9DF-4C2B-A2A2-1A547F0C97B9}">
  <dimension ref="A1:B16"/>
  <sheetViews>
    <sheetView workbookViewId="0">
      <selection activeCell="B3" sqref="B3:B16"/>
    </sheetView>
  </sheetViews>
  <sheetFormatPr defaultRowHeight="21" customHeight="1" x14ac:dyDescent="0.25"/>
  <cols>
    <col min="1" max="1" width="19.28515625" customWidth="1"/>
    <col min="2" max="2" width="28.85546875" customWidth="1"/>
  </cols>
  <sheetData>
    <row r="1" spans="1:2" ht="21" customHeight="1" x14ac:dyDescent="0.25">
      <c r="A1" s="30" t="s">
        <v>165</v>
      </c>
      <c r="B1" s="31"/>
    </row>
    <row r="2" spans="1:2" ht="21" customHeight="1" x14ac:dyDescent="0.25">
      <c r="A2" s="7" t="s">
        <v>47</v>
      </c>
      <c r="B2" s="7"/>
    </row>
    <row r="3" spans="1:2" ht="21" customHeight="1" x14ac:dyDescent="0.25">
      <c r="A3" s="7" t="s">
        <v>166</v>
      </c>
      <c r="B3" s="32" t="s">
        <v>167</v>
      </c>
    </row>
    <row r="4" spans="1:2" ht="21" customHeight="1" x14ac:dyDescent="0.25">
      <c r="A4" s="7" t="s">
        <v>168</v>
      </c>
      <c r="B4" s="7" t="s">
        <v>169</v>
      </c>
    </row>
    <row r="5" spans="1:2" ht="21" customHeight="1" x14ac:dyDescent="0.25">
      <c r="A5" s="7" t="s">
        <v>170</v>
      </c>
      <c r="B5" s="7" t="s">
        <v>171</v>
      </c>
    </row>
    <row r="6" spans="1:2" ht="21" customHeight="1" x14ac:dyDescent="0.25">
      <c r="A6" s="7" t="s">
        <v>172</v>
      </c>
      <c r="B6" s="7" t="s">
        <v>173</v>
      </c>
    </row>
    <row r="7" spans="1:2" ht="21" customHeight="1" x14ac:dyDescent="0.25">
      <c r="A7" s="7" t="s">
        <v>174</v>
      </c>
      <c r="B7" s="7" t="s">
        <v>171</v>
      </c>
    </row>
    <row r="8" spans="1:2" ht="21" customHeight="1" x14ac:dyDescent="0.25">
      <c r="A8" s="7" t="s">
        <v>175</v>
      </c>
      <c r="B8" s="7" t="s">
        <v>176</v>
      </c>
    </row>
    <row r="9" spans="1:2" ht="21" customHeight="1" x14ac:dyDescent="0.25">
      <c r="A9" s="7" t="s">
        <v>177</v>
      </c>
      <c r="B9" s="7" t="s">
        <v>176</v>
      </c>
    </row>
    <row r="10" spans="1:2" ht="21" customHeight="1" x14ac:dyDescent="0.25">
      <c r="A10" s="7" t="s">
        <v>178</v>
      </c>
      <c r="B10" s="7" t="s">
        <v>179</v>
      </c>
    </row>
    <row r="11" spans="1:2" ht="21" customHeight="1" x14ac:dyDescent="0.25">
      <c r="A11" s="7" t="s">
        <v>180</v>
      </c>
      <c r="B11" s="7" t="s">
        <v>181</v>
      </c>
    </row>
    <row r="12" spans="1:2" ht="21" customHeight="1" x14ac:dyDescent="0.25">
      <c r="A12" s="7" t="s">
        <v>182</v>
      </c>
      <c r="B12" s="7" t="s">
        <v>183</v>
      </c>
    </row>
    <row r="13" spans="1:2" ht="21" customHeight="1" x14ac:dyDescent="0.25">
      <c r="A13" s="7" t="s">
        <v>184</v>
      </c>
      <c r="B13" s="7" t="s">
        <v>173</v>
      </c>
    </row>
    <row r="14" spans="1:2" ht="21" customHeight="1" x14ac:dyDescent="0.25">
      <c r="A14" s="7" t="s">
        <v>185</v>
      </c>
      <c r="B14" s="7" t="s">
        <v>186</v>
      </c>
    </row>
    <row r="15" spans="1:2" ht="21" customHeight="1" x14ac:dyDescent="0.25">
      <c r="A15" s="7" t="s">
        <v>187</v>
      </c>
      <c r="B15" s="7" t="s">
        <v>188</v>
      </c>
    </row>
    <row r="16" spans="1:2" ht="21" customHeight="1" x14ac:dyDescent="0.25">
      <c r="A16" s="7" t="s">
        <v>189</v>
      </c>
      <c r="B16" s="7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C2E4-4409-4967-BED2-52DCAF027A1A}">
  <dimension ref="A1:F7"/>
  <sheetViews>
    <sheetView workbookViewId="0">
      <selection activeCell="F2" sqref="F2"/>
    </sheetView>
  </sheetViews>
  <sheetFormatPr defaultRowHeight="15" x14ac:dyDescent="0.25"/>
  <cols>
    <col min="1" max="1" width="40.28515625" bestFit="1" customWidth="1"/>
    <col min="2" max="2" width="11.28515625" bestFit="1" customWidth="1"/>
    <col min="3" max="3" width="13.140625" bestFit="1" customWidth="1"/>
    <col min="4" max="4" width="14.7109375" bestFit="1" customWidth="1"/>
    <col min="5" max="5" width="12.85546875" bestFit="1" customWidth="1"/>
  </cols>
  <sheetData>
    <row r="1" spans="1:6" s="26" customFormat="1" ht="17.25" x14ac:dyDescent="0.35">
      <c r="A1" s="25"/>
      <c r="B1" s="25" t="s">
        <v>103</v>
      </c>
      <c r="C1" s="25" t="s">
        <v>104</v>
      </c>
      <c r="D1" s="25" t="s">
        <v>105</v>
      </c>
      <c r="E1" s="25" t="s">
        <v>132</v>
      </c>
      <c r="F1" s="25"/>
    </row>
    <row r="2" spans="1:6" ht="17.25" x14ac:dyDescent="0.35">
      <c r="A2" s="27" t="s">
        <v>106</v>
      </c>
      <c r="B2" s="27">
        <v>100</v>
      </c>
      <c r="C2" s="25"/>
      <c r="D2" s="25"/>
      <c r="E2" s="25"/>
      <c r="F2" s="25"/>
    </row>
    <row r="3" spans="1:6" ht="17.25" x14ac:dyDescent="0.35">
      <c r="A3" s="27" t="s">
        <v>107</v>
      </c>
      <c r="B3" s="27"/>
      <c r="C3" s="25">
        <v>100</v>
      </c>
      <c r="D3" s="25"/>
      <c r="E3" s="25"/>
      <c r="F3" s="25"/>
    </row>
    <row r="4" spans="1:6" ht="15" customHeight="1" x14ac:dyDescent="0.35">
      <c r="A4" s="27" t="s">
        <v>120</v>
      </c>
      <c r="B4" s="27"/>
      <c r="C4" s="25"/>
      <c r="D4" s="25">
        <v>49.5</v>
      </c>
      <c r="E4" s="25"/>
      <c r="F4" s="25"/>
    </row>
    <row r="5" spans="1:6" ht="15.75" customHeight="1" x14ac:dyDescent="0.35">
      <c r="A5" s="27" t="s">
        <v>121</v>
      </c>
      <c r="B5" s="27"/>
      <c r="C5" s="25"/>
      <c r="D5" s="25">
        <v>49.5</v>
      </c>
      <c r="E5" s="25"/>
      <c r="F5" s="25"/>
    </row>
    <row r="6" spans="1:6" ht="17.25" x14ac:dyDescent="0.35">
      <c r="A6" s="27" t="s">
        <v>122</v>
      </c>
      <c r="B6" s="27"/>
      <c r="C6" s="25"/>
      <c r="D6" s="25">
        <v>1</v>
      </c>
      <c r="E6" s="25"/>
      <c r="F6" s="25"/>
    </row>
    <row r="7" spans="1:6" ht="17.25" x14ac:dyDescent="0.35">
      <c r="A7" s="27" t="s">
        <v>131</v>
      </c>
      <c r="B7" s="25"/>
      <c r="C7" s="25"/>
      <c r="D7" s="25"/>
      <c r="E7" s="25">
        <v>100</v>
      </c>
      <c r="F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Weights</vt:lpstr>
      <vt:lpstr>INCI helper</vt:lpstr>
      <vt:lpstr>Bronzer mica</vt:lpstr>
      <vt:lpstr>Bases</vt:lpstr>
      <vt:lpstr>Mica List</vt:lpstr>
      <vt:lpstr>IFRA class 5A</vt:lpstr>
      <vt:lpstr> BASE</vt:lpstr>
      <vt:lpstr>Glycerin Dyes</vt:lpstr>
      <vt:lpstr>Butters</vt:lpstr>
      <vt:lpstr>Micas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Turnham</cp:lastModifiedBy>
  <dcterms:created xsi:type="dcterms:W3CDTF">2021-02-15T16:47:04Z</dcterms:created>
  <dcterms:modified xsi:type="dcterms:W3CDTF">2022-11-29T18:39:13Z</dcterms:modified>
</cp:coreProperties>
</file>