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foxconsultancy-my.sharepoint.com/personal/info_swift-fox_co_uk/Documents/Documents/Work/2. Client Information/Stansfields/3. Flexi Documents/Lip Balms/"/>
    </mc:Choice>
  </mc:AlternateContent>
  <xr:revisionPtr revIDLastSave="42" documentId="8_{25BC72D6-12FB-4F3B-A15B-5C3297407512}" xr6:coauthVersionLast="47" xr6:coauthVersionMax="47" xr10:uidLastSave="{D658D813-59CF-4684-903E-F3227CE43EC9}"/>
  <bookViews>
    <workbookView xWindow="-120" yWindow="-120" windowWidth="29040" windowHeight="15840" activeTab="1" xr2:uid="{2CA88F16-F03E-4198-BEB8-F24302545CC7}"/>
  </bookViews>
  <sheets>
    <sheet name="Recipe" sheetId="1" r:id="rId1"/>
    <sheet name="INCI Helper" sheetId="3" r:id="rId2"/>
    <sheet name="Aroma" sheetId="9" state="hidden" r:id="rId3"/>
    <sheet name="Waxes" sheetId="10" state="hidden" r:id="rId4"/>
    <sheet name="Mica" sheetId="5" state="hidden" r:id="rId5"/>
    <sheet name="Butters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1" i="3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G38" i="3"/>
  <c r="G42" i="3"/>
  <c r="G41" i="3"/>
  <c r="G40" i="3"/>
  <c r="G39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G23" i="3"/>
  <c r="G22" i="3"/>
  <c r="G21" i="3"/>
  <c r="G20" i="3"/>
  <c r="E24" i="3"/>
  <c r="E23" i="3"/>
  <c r="E22" i="3"/>
  <c r="E21" i="3"/>
  <c r="E20" i="3"/>
  <c r="C9" i="3"/>
  <c r="C8" i="3"/>
  <c r="C7" i="3"/>
  <c r="C6" i="3"/>
  <c r="F8" i="1"/>
  <c r="D23" i="1"/>
  <c r="E18" i="1" s="1"/>
  <c r="E27" i="9"/>
  <c r="F27" i="9" s="1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C27" i="9"/>
  <c r="D27" i="9" s="1"/>
  <c r="G18" i="1"/>
  <c r="G19" i="1"/>
  <c r="G20" i="1"/>
  <c r="G21" i="1"/>
  <c r="G17" i="1"/>
  <c r="C16" i="3" l="1"/>
  <c r="E6" i="1"/>
  <c r="C4" i="3" s="1"/>
  <c r="E5" i="1"/>
  <c r="C3" i="3" s="1"/>
  <c r="E4" i="1"/>
  <c r="C2" i="3" s="1"/>
  <c r="E8" i="1"/>
  <c r="C5" i="3" s="1"/>
  <c r="E10" i="1"/>
  <c r="E7" i="1"/>
  <c r="E20" i="1"/>
  <c r="E11" i="1"/>
  <c r="F11" i="1" s="1"/>
  <c r="E17" i="1"/>
  <c r="E14" i="1"/>
  <c r="C14" i="3" s="1"/>
  <c r="E21" i="1"/>
  <c r="E19" i="1"/>
  <c r="F18" i="1" l="1"/>
  <c r="F19" i="1"/>
  <c r="F20" i="1"/>
  <c r="F21" i="1"/>
  <c r="F17" i="1"/>
  <c r="F10" i="1"/>
  <c r="C31" i="3"/>
  <c r="D31" i="3" s="1"/>
  <c r="C28" i="3"/>
  <c r="D28" i="3" s="1"/>
  <c r="C32" i="3"/>
  <c r="D32" i="3" s="1"/>
  <c r="C33" i="3"/>
  <c r="D33" i="3" s="1"/>
  <c r="C34" i="3"/>
  <c r="D34" i="3" s="1"/>
  <c r="C13" i="3"/>
  <c r="C22" i="3"/>
  <c r="D22" i="3" s="1"/>
  <c r="C36" i="3"/>
  <c r="D36" i="3" s="1"/>
  <c r="C29" i="3"/>
  <c r="D29" i="3" s="1"/>
  <c r="C20" i="3"/>
  <c r="D20" i="3" s="1"/>
  <c r="C21" i="3"/>
  <c r="D21" i="3" s="1"/>
  <c r="C23" i="3"/>
  <c r="D23" i="3" s="1"/>
  <c r="C37" i="3"/>
  <c r="D37" i="3" s="1"/>
  <c r="C39" i="3"/>
  <c r="D39" i="3" s="1"/>
  <c r="C27" i="3"/>
  <c r="D27" i="3" s="1"/>
  <c r="C41" i="3"/>
  <c r="D41" i="3" s="1"/>
  <c r="C30" i="3"/>
  <c r="D30" i="3" s="1"/>
  <c r="C24" i="3"/>
  <c r="D24" i="3" s="1"/>
  <c r="C38" i="3"/>
  <c r="D38" i="3" s="1"/>
  <c r="C25" i="3"/>
  <c r="D25" i="3" s="1"/>
  <c r="C26" i="3"/>
  <c r="D26" i="3" s="1"/>
  <c r="C40" i="3"/>
  <c r="D40" i="3" s="1"/>
  <c r="C42" i="3"/>
  <c r="D42" i="3" s="1"/>
  <c r="C35" i="3"/>
  <c r="D35" i="3" s="1"/>
  <c r="C15" i="3"/>
  <c r="C18" i="3"/>
  <c r="E11" i="3"/>
  <c r="C11" i="3" s="1"/>
  <c r="E10" i="3"/>
  <c r="C10" i="3" s="1"/>
  <c r="E12" i="3"/>
  <c r="C12" i="3" s="1"/>
  <c r="C17" i="3"/>
  <c r="C19" i="3"/>
</calcChain>
</file>

<file path=xl/sharedStrings.xml><?xml version="1.0" encoding="utf-8"?>
<sst xmlns="http://schemas.openxmlformats.org/spreadsheetml/2006/main" count="170" uniqueCount="105">
  <si>
    <t>None</t>
  </si>
  <si>
    <t>Maximum Use Level</t>
  </si>
  <si>
    <t>Alpha-Isomethyl Ionone</t>
  </si>
  <si>
    <t>Amyl Cinnamal</t>
  </si>
  <si>
    <t>Amylcinnamyl Alcohol</t>
  </si>
  <si>
    <t>Anise Alcohol</t>
  </si>
  <si>
    <t>Benzyl Alcohol</t>
  </si>
  <si>
    <t>Benzyl Benzoate</t>
  </si>
  <si>
    <t>Benzyl Cinnamate</t>
  </si>
  <si>
    <t>Benzyl Salicylate</t>
  </si>
  <si>
    <t>Cinnamal</t>
  </si>
  <si>
    <t>Cinnamyl Alcohol</t>
  </si>
  <si>
    <t>Citral</t>
  </si>
  <si>
    <t>Citronellol</t>
  </si>
  <si>
    <t>Coumarin</t>
  </si>
  <si>
    <t>Eugenol</t>
  </si>
  <si>
    <t>Evernia Prunastri Extract</t>
  </si>
  <si>
    <t>Farnesol</t>
  </si>
  <si>
    <t>Geraniol</t>
  </si>
  <si>
    <t>Hexyl Cinnamal</t>
  </si>
  <si>
    <t>Hydroxycitronellal</t>
  </si>
  <si>
    <t>Isoeugenol</t>
  </si>
  <si>
    <t>Limonene</t>
  </si>
  <si>
    <t>Linalool</t>
  </si>
  <si>
    <t>Methyl 2-Octynoate</t>
  </si>
  <si>
    <t>COUNT</t>
  </si>
  <si>
    <t>Weight (g)</t>
  </si>
  <si>
    <t>Percentage (%)</t>
  </si>
  <si>
    <t>Shea Butter</t>
  </si>
  <si>
    <t>Stansfield’s</t>
  </si>
  <si>
    <t>Butyrospermum Parkii (Shea) Butter</t>
  </si>
  <si>
    <t>Up to 5.000</t>
  </si>
  <si>
    <r>
      <t xml:space="preserve">Up to </t>
    </r>
    <r>
      <rPr>
        <sz val="11"/>
        <color rgb="FF000000"/>
        <rFont val="Gill Sans MT"/>
        <family val="2"/>
      </rPr>
      <t>5.000</t>
    </r>
  </si>
  <si>
    <t>Mango Butter</t>
  </si>
  <si>
    <t>Mangifera Indica (Mango) Seed Butter</t>
  </si>
  <si>
    <t>Avocado Butter</t>
  </si>
  <si>
    <t>Persea Gratissima (Avocado) Oil</t>
  </si>
  <si>
    <t>Up to 49.500</t>
  </si>
  <si>
    <r>
      <t xml:space="preserve">Up to </t>
    </r>
    <r>
      <rPr>
        <sz val="11"/>
        <color rgb="FF000000"/>
        <rFont val="Gill Sans MT"/>
        <family val="2"/>
      </rPr>
      <t>2.475</t>
    </r>
  </si>
  <si>
    <t>Hydrogenated Vegetable Oil</t>
  </si>
  <si>
    <t>Theobroma Cacao Seed Butter</t>
  </si>
  <si>
    <t>Micas</t>
  </si>
  <si>
    <t>INCI</t>
  </si>
  <si>
    <t>Red Mica</t>
  </si>
  <si>
    <t>Mica,
CI 16035,
CI 77891,</t>
  </si>
  <si>
    <t xml:space="preserve">Pink Mica  </t>
  </si>
  <si>
    <t>Satin Bronze Mica</t>
  </si>
  <si>
    <t>Glitter Bronze</t>
  </si>
  <si>
    <t>Sparkle Red Brown</t>
  </si>
  <si>
    <t>Comments</t>
  </si>
  <si>
    <t>Total:</t>
  </si>
  <si>
    <t>↓             Insert weight here                ↓</t>
  </si>
  <si>
    <t>Select colours here:</t>
  </si>
  <si>
    <t>Main ingredients</t>
  </si>
  <si>
    <t>Cocoa butter</t>
  </si>
  <si>
    <t>Grape seed oil</t>
  </si>
  <si>
    <t>Rice bran oil</t>
  </si>
  <si>
    <t>Butters</t>
  </si>
  <si>
    <t>Choose one:</t>
  </si>
  <si>
    <t>Plant butters</t>
  </si>
  <si>
    <t>Flavour/Aroma 1</t>
  </si>
  <si>
    <t>Waxes</t>
  </si>
  <si>
    <t>Candellila Wax</t>
  </si>
  <si>
    <t>Bees Wax</t>
  </si>
  <si>
    <t>Refined Rice Bran Wax</t>
  </si>
  <si>
    <t>Optional sugar scrub</t>
  </si>
  <si>
    <t>White sugar</t>
  </si>
  <si>
    <t xml:space="preserve">You may have up to 0.2% of mica in total from the table below. </t>
  </si>
  <si>
    <t>Mica, CI 77491</t>
  </si>
  <si>
    <t>Mica,       CI 77491</t>
  </si>
  <si>
    <t>Mica,         CI 77491</t>
  </si>
  <si>
    <t>Mica1</t>
  </si>
  <si>
    <t>Mica2</t>
  </si>
  <si>
    <t>Mica3</t>
  </si>
  <si>
    <t>Mica4</t>
  </si>
  <si>
    <t>Mica5</t>
  </si>
  <si>
    <t>May be between 25g-30g</t>
  </si>
  <si>
    <t xml:space="preserve">Apple </t>
  </si>
  <si>
    <t xml:space="preserve">Raspberry </t>
  </si>
  <si>
    <t xml:space="preserve">May be up to 2% alone or up to 1% if in combination with another flavour. Mixing of flavours that are not stipulated in a CPSR is not permitted. </t>
  </si>
  <si>
    <t>Alert!</t>
  </si>
  <si>
    <t>Blueberry &amp; Mango</t>
  </si>
  <si>
    <t>Watermelon</t>
  </si>
  <si>
    <t>Cherry</t>
  </si>
  <si>
    <t>Vanilla</t>
  </si>
  <si>
    <t>Chocolate</t>
  </si>
  <si>
    <t>Strawberry</t>
  </si>
  <si>
    <t xml:space="preserve">Mango </t>
  </si>
  <si>
    <t xml:space="preserve">Passionfruit </t>
  </si>
  <si>
    <t>Sucrose</t>
  </si>
  <si>
    <t>Oryza Sativa (Rice) Bran Oil</t>
  </si>
  <si>
    <t>Vitis Vinifera (Grape) Seed Oil</t>
  </si>
  <si>
    <t>Euphorbia Cerifera Cera</t>
  </si>
  <si>
    <t>Cera Alba</t>
  </si>
  <si>
    <t>Oryza Sativa Bran Cera</t>
  </si>
  <si>
    <t>Wax</t>
  </si>
  <si>
    <t>Tocopherol</t>
  </si>
  <si>
    <t>Flavour</t>
  </si>
  <si>
    <t>Aroma</t>
  </si>
  <si>
    <t>Sugar scrub</t>
  </si>
  <si>
    <t>Mica</t>
  </si>
  <si>
    <t>Allergens</t>
  </si>
  <si>
    <t>Mica, CI 16035, CI 77891</t>
  </si>
  <si>
    <t>150g-200g may be added to make a lip scrub</t>
  </si>
  <si>
    <t>Lip balm / Lip scrub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</si>
</sst>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70" formatCode="0.000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Gill Sans MT"/>
      <family val="2"/>
    </font>
    <font>
      <sz val="8"/>
      <name val="Calibri"/>
      <family val="2"/>
      <scheme val="minor"/>
    </font>
    <font>
      <sz val="11"/>
      <color rgb="FF000000"/>
      <name val="Gill Sans MT"/>
      <family val="2"/>
    </font>
    <font>
      <sz val="11"/>
      <color rgb="FFFF0000"/>
      <name val="Gill Sans MT"/>
      <family val="2"/>
    </font>
    <font>
      <b/>
      <sz val="16"/>
      <color theme="1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rgb="FFFF0000"/>
      <name val="Gill Sans MT"/>
      <family val="2"/>
    </font>
    <font>
      <b/>
      <sz val="14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164" fontId="2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4" fillId="0" borderId="0" xfId="0" applyFont="1"/>
    <xf numFmtId="2" fontId="3" fillId="0" borderId="0" xfId="0" applyNumberFormat="1" applyFont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wrapText="1"/>
    </xf>
    <xf numFmtId="0" fontId="2" fillId="0" borderId="0" xfId="0" applyFont="1"/>
    <xf numFmtId="164" fontId="0" fillId="0" borderId="2" xfId="0" applyNumberFormat="1" applyBorder="1" applyAlignment="1">
      <alignment wrapText="1"/>
    </xf>
    <xf numFmtId="1" fontId="2" fillId="0" borderId="1" xfId="0" applyNumberFormat="1" applyFont="1" applyBorder="1"/>
    <xf numFmtId="16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2" borderId="1" xfId="0" applyFill="1" applyBorder="1"/>
    <xf numFmtId="0" fontId="1" fillId="0" borderId="0" xfId="0" applyFont="1"/>
    <xf numFmtId="0" fontId="1" fillId="0" borderId="1" xfId="0" applyFont="1" applyBorder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/>
    </xf>
    <xf numFmtId="0" fontId="3" fillId="4" borderId="0" xfId="0" applyFont="1" applyFill="1"/>
    <xf numFmtId="2" fontId="3" fillId="4" borderId="0" xfId="0" applyNumberFormat="1" applyFont="1" applyFill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3" fillId="4" borderId="16" xfId="0" applyFont="1" applyFill="1" applyBorder="1"/>
    <xf numFmtId="0" fontId="3" fillId="4" borderId="7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0" fillId="4" borderId="12" xfId="0" applyFont="1" applyFill="1" applyBorder="1"/>
    <xf numFmtId="0" fontId="10" fillId="4" borderId="14" xfId="0" applyFont="1" applyFill="1" applyBorder="1"/>
    <xf numFmtId="0" fontId="10" fillId="4" borderId="0" xfId="0" applyFont="1" applyFill="1" applyBorder="1"/>
    <xf numFmtId="2" fontId="10" fillId="4" borderId="0" xfId="0" applyNumberFormat="1" applyFont="1" applyFill="1" applyBorder="1"/>
    <xf numFmtId="2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/>
    <xf numFmtId="2" fontId="9" fillId="4" borderId="0" xfId="0" applyNumberFormat="1" applyFont="1" applyFill="1" applyBorder="1"/>
    <xf numFmtId="0" fontId="10" fillId="4" borderId="1" xfId="0" applyFont="1" applyFill="1" applyBorder="1"/>
    <xf numFmtId="2" fontId="9" fillId="4" borderId="1" xfId="0" applyNumberFormat="1" applyFont="1" applyFill="1" applyBorder="1"/>
    <xf numFmtId="0" fontId="9" fillId="4" borderId="17" xfId="0" applyFont="1" applyFill="1" applyBorder="1"/>
    <xf numFmtId="0" fontId="10" fillId="4" borderId="1" xfId="0" applyFont="1" applyFill="1" applyBorder="1" applyProtection="1">
      <protection locked="0"/>
    </xf>
    <xf numFmtId="2" fontId="9" fillId="4" borderId="1" xfId="0" applyNumberFormat="1" applyFont="1" applyFill="1" applyBorder="1" applyProtection="1">
      <protection locked="0"/>
    </xf>
    <xf numFmtId="0" fontId="9" fillId="4" borderId="14" xfId="0" applyFont="1" applyFill="1" applyBorder="1"/>
    <xf numFmtId="0" fontId="9" fillId="4" borderId="0" xfId="0" applyFont="1" applyFill="1" applyBorder="1" applyAlignment="1">
      <alignment horizontal="center" wrapText="1"/>
    </xf>
    <xf numFmtId="2" fontId="9" fillId="4" borderId="0" xfId="0" applyNumberFormat="1" applyFont="1" applyFill="1" applyBorder="1" applyAlignment="1">
      <alignment wrapText="1"/>
    </xf>
    <xf numFmtId="0" fontId="9" fillId="4" borderId="0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17" xfId="0" applyFont="1" applyFill="1" applyBorder="1"/>
    <xf numFmtId="0" fontId="9" fillId="4" borderId="1" xfId="0" applyFont="1" applyFill="1" applyBorder="1"/>
    <xf numFmtId="2" fontId="10" fillId="4" borderId="1" xfId="0" applyNumberFormat="1" applyFont="1" applyFill="1" applyBorder="1" applyProtection="1">
      <protection locked="0"/>
    </xf>
    <xf numFmtId="0" fontId="11" fillId="4" borderId="14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wrapText="1"/>
    </xf>
    <xf numFmtId="2" fontId="10" fillId="4" borderId="0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9" fillId="4" borderId="15" xfId="0" applyFont="1" applyFill="1" applyBorder="1"/>
    <xf numFmtId="0" fontId="10" fillId="4" borderId="16" xfId="0" applyFont="1" applyFill="1" applyBorder="1"/>
    <xf numFmtId="2" fontId="9" fillId="4" borderId="4" xfId="0" applyNumberFormat="1" applyFont="1" applyFill="1" applyBorder="1"/>
    <xf numFmtId="2" fontId="10" fillId="4" borderId="16" xfId="0" applyNumberFormat="1" applyFont="1" applyFill="1" applyBorder="1"/>
    <xf numFmtId="2" fontId="9" fillId="4" borderId="18" xfId="0" applyNumberFormat="1" applyFont="1" applyFill="1" applyBorder="1"/>
    <xf numFmtId="0" fontId="9" fillId="4" borderId="18" xfId="0" applyFont="1" applyFill="1" applyBorder="1"/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vertical="center" textRotation="90"/>
    </xf>
    <xf numFmtId="0" fontId="12" fillId="0" borderId="3" xfId="0" applyFont="1" applyBorder="1" applyAlignment="1">
      <alignment horizontal="center" vertical="center" textRotation="90"/>
    </xf>
    <xf numFmtId="164" fontId="7" fillId="0" borderId="1" xfId="0" applyNumberFormat="1" applyFont="1" applyBorder="1"/>
    <xf numFmtId="170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0" xfId="0" applyFont="1" applyBorder="1" applyAlignment="1">
      <alignment horizontal="center" vertical="center" textRotation="90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14</xdr:col>
      <xdr:colOff>185552</xdr:colOff>
      <xdr:row>22</xdr:row>
      <xdr:rowOff>125461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0FE5143-B6B0-4EC4-A7CF-79D03A341DEA}"/>
            </a:ext>
          </a:extLst>
        </xdr:cNvPr>
        <xdr:cNvSpPr txBox="1"/>
      </xdr:nvSpPr>
      <xdr:spPr>
        <a:xfrm>
          <a:off x="12961051" y="38100"/>
          <a:ext cx="5000378" cy="8202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use: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Select the plant butter using the dropdown box.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Select the wax from the drop down box.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Insert a weight of 25g-30g of wax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the grams flavour/aroma added (May be up to 2% alone or up to 1% 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if in combination with another flavour. Mixing of flavours that are not stipulated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in a CPSR is not permitted).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Select the colours using the dropdown box.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6.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grams of the colours used in the blue box (up to 0.2%).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Click on the Tab 'INCI Helper'.</a:t>
          </a:r>
          <a:endParaRPr lang="en-GB">
            <a:effectLst/>
          </a:endParaRPr>
        </a:p>
        <a:p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Make sure that you start with 'none' in all your drop down boxes before you start with your selections.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INCI helper on the next tab to help you with your ingredient percentages and allergen levels. Ingredients above 1% must be listed in decending order. Followed by ingredients under 1%. Colours may be placed at the end if you prefer.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Example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Ingredients: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Sodium Bicarbonate,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Citric Acid,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Disodium Lauryl Sulfosuccinate,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Oryza Sativa (Rice) Bran Oil,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Polysorbate 80,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Parfum,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(ingredients under 1% in any order after).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Allergens that are over 0.001% will require placing on the ingredient label.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45BA3-9F0D-4EF8-8ED6-ADC86A0AAA97}">
  <sheetPr codeName="Sheet1"/>
  <dimension ref="A1:Q24"/>
  <sheetViews>
    <sheetView showGridLines="0" zoomScale="77" zoomScaleNormal="77" workbookViewId="0">
      <selection activeCell="C16" sqref="C16"/>
    </sheetView>
  </sheetViews>
  <sheetFormatPr defaultRowHeight="18.75" x14ac:dyDescent="0.3"/>
  <cols>
    <col min="1" max="1" width="23" style="1" customWidth="1"/>
    <col min="2" max="2" width="17" style="1" bestFit="1" customWidth="1"/>
    <col min="3" max="3" width="30.28515625" style="1" bestFit="1" customWidth="1"/>
    <col min="4" max="4" width="15.140625" style="9" customWidth="1"/>
    <col min="5" max="5" width="18.140625" style="9" bestFit="1" customWidth="1"/>
    <col min="6" max="6" width="25.28515625" style="9" customWidth="1"/>
    <col min="7" max="7" width="57" style="1" customWidth="1"/>
    <col min="8" max="8" width="17.85546875" style="1" customWidth="1"/>
    <col min="9" max="16384" width="9.140625" style="1"/>
  </cols>
  <sheetData>
    <row r="1" spans="1:17" ht="24.75" x14ac:dyDescent="0.5">
      <c r="A1" s="45" t="s">
        <v>104</v>
      </c>
      <c r="B1" s="46"/>
      <c r="C1" s="46"/>
      <c r="D1" s="46"/>
      <c r="E1" s="46"/>
      <c r="F1" s="46"/>
      <c r="G1" s="47"/>
      <c r="H1" s="47"/>
      <c r="I1" s="39"/>
      <c r="J1" s="39"/>
      <c r="K1" s="39"/>
      <c r="L1" s="39"/>
      <c r="M1" s="39"/>
      <c r="N1" s="39"/>
      <c r="O1" s="39"/>
      <c r="P1" s="39"/>
      <c r="Q1" s="40"/>
    </row>
    <row r="2" spans="1:17" ht="20.25" x14ac:dyDescent="0.4">
      <c r="A2" s="48"/>
      <c r="B2" s="49"/>
      <c r="C2" s="49"/>
      <c r="D2" s="50"/>
      <c r="E2" s="50"/>
      <c r="F2" s="51"/>
      <c r="G2" s="52"/>
      <c r="H2" s="49"/>
      <c r="I2" s="41"/>
      <c r="J2" s="41"/>
      <c r="K2" s="41"/>
      <c r="L2" s="41"/>
      <c r="M2" s="41"/>
      <c r="N2" s="41"/>
      <c r="O2" s="41"/>
      <c r="P2" s="41"/>
      <c r="Q2" s="42"/>
    </row>
    <row r="3" spans="1:17" ht="20.25" x14ac:dyDescent="0.4">
      <c r="A3" s="48"/>
      <c r="B3" s="49"/>
      <c r="C3" s="49"/>
      <c r="D3" s="53" t="s">
        <v>26</v>
      </c>
      <c r="E3" s="53" t="s">
        <v>27</v>
      </c>
      <c r="F3" s="80" t="s">
        <v>80</v>
      </c>
      <c r="G3" s="81" t="s">
        <v>49</v>
      </c>
      <c r="H3" s="49"/>
      <c r="I3" s="41"/>
      <c r="J3" s="41"/>
      <c r="K3" s="41"/>
      <c r="L3" s="41"/>
      <c r="M3" s="41"/>
      <c r="N3" s="41"/>
      <c r="O3" s="41"/>
      <c r="P3" s="41"/>
      <c r="Q3" s="42"/>
    </row>
    <row r="4" spans="1:17" ht="20.25" x14ac:dyDescent="0.4">
      <c r="A4" s="48"/>
      <c r="B4" s="49"/>
      <c r="C4" s="54" t="s">
        <v>54</v>
      </c>
      <c r="D4" s="55">
        <v>10</v>
      </c>
      <c r="E4" s="55">
        <f>D4/$D$23*100</f>
        <v>10</v>
      </c>
      <c r="F4" s="53"/>
      <c r="G4" s="49"/>
      <c r="H4" s="49"/>
      <c r="I4" s="41"/>
      <c r="J4" s="41"/>
      <c r="K4" s="41"/>
      <c r="L4" s="41"/>
      <c r="M4" s="41"/>
      <c r="N4" s="41"/>
      <c r="O4" s="41"/>
      <c r="P4" s="41"/>
      <c r="Q4" s="42"/>
    </row>
    <row r="5" spans="1:17" ht="20.25" x14ac:dyDescent="0.4">
      <c r="A5" s="48"/>
      <c r="B5" s="49"/>
      <c r="C5" s="54" t="s">
        <v>56</v>
      </c>
      <c r="D5" s="55">
        <v>25</v>
      </c>
      <c r="E5" s="55">
        <f t="shared" ref="E5:E8" si="0">D5/$D$23*100</f>
        <v>25</v>
      </c>
      <c r="F5" s="53"/>
      <c r="G5" s="49"/>
      <c r="H5" s="49"/>
      <c r="I5" s="41"/>
      <c r="J5" s="41"/>
      <c r="K5" s="41"/>
      <c r="L5" s="41"/>
      <c r="M5" s="41"/>
      <c r="N5" s="41"/>
      <c r="O5" s="41"/>
      <c r="P5" s="41"/>
      <c r="Q5" s="42"/>
    </row>
    <row r="6" spans="1:17" ht="20.25" x14ac:dyDescent="0.4">
      <c r="A6" s="48"/>
      <c r="B6" s="49"/>
      <c r="C6" s="54" t="s">
        <v>55</v>
      </c>
      <c r="D6" s="55">
        <v>25</v>
      </c>
      <c r="E6" s="55">
        <f t="shared" si="0"/>
        <v>25</v>
      </c>
      <c r="F6" s="53"/>
      <c r="G6" s="49"/>
      <c r="H6" s="49"/>
      <c r="I6" s="41"/>
      <c r="J6" s="41"/>
      <c r="K6" s="41"/>
      <c r="L6" s="41"/>
      <c r="M6" s="41"/>
      <c r="N6" s="41"/>
      <c r="O6" s="41"/>
      <c r="P6" s="41"/>
      <c r="Q6" s="42"/>
    </row>
    <row r="7" spans="1:17" ht="20.25" x14ac:dyDescent="0.4">
      <c r="A7" s="56" t="s">
        <v>59</v>
      </c>
      <c r="B7" s="54" t="s">
        <v>58</v>
      </c>
      <c r="C7" s="57" t="s">
        <v>35</v>
      </c>
      <c r="D7" s="55">
        <v>15</v>
      </c>
      <c r="E7" s="55">
        <f t="shared" si="0"/>
        <v>15</v>
      </c>
      <c r="F7" s="53"/>
      <c r="G7" s="49"/>
      <c r="H7" s="49"/>
      <c r="I7" s="41"/>
      <c r="J7" s="41"/>
      <c r="K7" s="41"/>
      <c r="L7" s="41"/>
      <c r="M7" s="41"/>
      <c r="N7" s="41"/>
      <c r="O7" s="41"/>
      <c r="P7" s="41"/>
      <c r="Q7" s="42"/>
    </row>
    <row r="8" spans="1:17" ht="20.25" x14ac:dyDescent="0.4">
      <c r="A8" s="56" t="s">
        <v>61</v>
      </c>
      <c r="B8" s="54" t="s">
        <v>58</v>
      </c>
      <c r="C8" s="57" t="s">
        <v>62</v>
      </c>
      <c r="D8" s="58">
        <v>25</v>
      </c>
      <c r="E8" s="55">
        <f t="shared" si="0"/>
        <v>25</v>
      </c>
      <c r="F8" s="53" t="str">
        <f>IF(AND(D8&gt;=25,D8&lt;=30),"Acceptable","Must be between 25g-30g")</f>
        <v>Acceptable</v>
      </c>
      <c r="G8" s="52" t="s">
        <v>76</v>
      </c>
      <c r="H8" s="49"/>
      <c r="I8" s="41"/>
      <c r="J8" s="41"/>
      <c r="K8" s="41"/>
      <c r="L8" s="41"/>
      <c r="M8" s="41"/>
      <c r="N8" s="41"/>
      <c r="O8" s="41"/>
      <c r="P8" s="41"/>
      <c r="Q8" s="42"/>
    </row>
    <row r="9" spans="1:17" ht="78" x14ac:dyDescent="0.4">
      <c r="A9" s="59"/>
      <c r="B9" s="49"/>
      <c r="C9" s="49"/>
      <c r="D9" s="60" t="s">
        <v>51</v>
      </c>
      <c r="E9" s="53"/>
      <c r="F9" s="53"/>
      <c r="G9" s="52"/>
      <c r="H9" s="49"/>
      <c r="I9" s="41"/>
      <c r="J9" s="41"/>
      <c r="K9" s="41"/>
      <c r="L9" s="41"/>
      <c r="M9" s="41"/>
      <c r="N9" s="41"/>
      <c r="O9" s="41"/>
      <c r="P9" s="41"/>
      <c r="Q9" s="42"/>
    </row>
    <row r="10" spans="1:17" ht="33.75" customHeight="1" x14ac:dyDescent="0.4">
      <c r="A10" s="56" t="s">
        <v>60</v>
      </c>
      <c r="B10" s="54" t="s">
        <v>58</v>
      </c>
      <c r="C10" s="57" t="s">
        <v>77</v>
      </c>
      <c r="D10" s="58"/>
      <c r="E10" s="55">
        <f>D10/$D$23*100</f>
        <v>0</v>
      </c>
      <c r="F10" s="61" t="str">
        <f>IF(E10&gt;2,"Flavour must be less than 2%", "Acceptable")</f>
        <v>Acceptable</v>
      </c>
      <c r="G10" s="62" t="s">
        <v>79</v>
      </c>
      <c r="H10" s="49"/>
      <c r="I10" s="41"/>
      <c r="J10" s="41"/>
      <c r="K10" s="41"/>
      <c r="L10" s="41"/>
      <c r="M10" s="41"/>
      <c r="N10" s="41"/>
      <c r="O10" s="41"/>
      <c r="P10" s="41"/>
      <c r="Q10" s="42"/>
    </row>
    <row r="11" spans="1:17" ht="31.5" customHeight="1" x14ac:dyDescent="0.4">
      <c r="A11" s="56" t="s">
        <v>60</v>
      </c>
      <c r="B11" s="54" t="s">
        <v>58</v>
      </c>
      <c r="C11" s="57" t="s">
        <v>78</v>
      </c>
      <c r="D11" s="58"/>
      <c r="E11" s="55">
        <f>D11/$D$23*100</f>
        <v>0</v>
      </c>
      <c r="F11" s="61" t="str">
        <f>IF(E11&gt;2,"Flavour must be less than 2%", "Acceptable")</f>
        <v>Acceptable</v>
      </c>
      <c r="G11" s="62"/>
      <c r="H11" s="49"/>
      <c r="I11" s="41"/>
      <c r="J11" s="41"/>
      <c r="K11" s="41"/>
      <c r="L11" s="41"/>
      <c r="M11" s="41"/>
      <c r="N11" s="41"/>
      <c r="O11" s="41"/>
      <c r="P11" s="41"/>
      <c r="Q11" s="42"/>
    </row>
    <row r="12" spans="1:17" ht="20.25" x14ac:dyDescent="0.4">
      <c r="A12" s="63" t="s">
        <v>65</v>
      </c>
      <c r="B12" s="64"/>
      <c r="C12" s="64"/>
      <c r="D12" s="64"/>
      <c r="E12" s="64"/>
      <c r="F12" s="65"/>
      <c r="G12" s="49"/>
      <c r="H12" s="49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78" x14ac:dyDescent="0.4">
      <c r="A13" s="48"/>
      <c r="B13" s="49"/>
      <c r="C13" s="49"/>
      <c r="D13" s="60" t="s">
        <v>51</v>
      </c>
      <c r="E13" s="53"/>
      <c r="F13" s="53"/>
      <c r="G13" s="49"/>
      <c r="H13" s="49"/>
      <c r="I13" s="41"/>
      <c r="J13" s="41"/>
      <c r="K13" s="41"/>
      <c r="L13" s="41"/>
      <c r="M13" s="41"/>
      <c r="N13" s="41"/>
      <c r="O13" s="41"/>
      <c r="P13" s="41"/>
      <c r="Q13" s="42"/>
    </row>
    <row r="14" spans="1:17" ht="20.25" x14ac:dyDescent="0.4">
      <c r="A14" s="66"/>
      <c r="B14" s="67" t="s">
        <v>66</v>
      </c>
      <c r="C14" s="54" t="s">
        <v>89</v>
      </c>
      <c r="D14" s="68"/>
      <c r="E14" s="55">
        <f>D14/$D$23*100</f>
        <v>0</v>
      </c>
      <c r="F14" s="61" t="str">
        <f>IF(D14&gt;200,"Do not exceed 200g", "Acceptable")</f>
        <v>Acceptable</v>
      </c>
      <c r="G14" s="67" t="s">
        <v>103</v>
      </c>
      <c r="H14" s="49"/>
      <c r="I14" s="41"/>
      <c r="J14" s="41"/>
      <c r="K14" s="41"/>
      <c r="L14" s="41"/>
      <c r="M14" s="41"/>
      <c r="N14" s="41"/>
      <c r="O14" s="41"/>
      <c r="P14" s="41"/>
      <c r="Q14" s="42"/>
    </row>
    <row r="15" spans="1:17" ht="39" customHeight="1" x14ac:dyDescent="0.4">
      <c r="A15" s="69" t="s">
        <v>67</v>
      </c>
      <c r="B15" s="70"/>
      <c r="C15" s="70"/>
      <c r="D15" s="70"/>
      <c r="E15" s="70"/>
      <c r="F15" s="71"/>
      <c r="G15" s="49"/>
      <c r="H15" s="49"/>
      <c r="I15" s="41"/>
      <c r="J15" s="41"/>
      <c r="K15" s="41"/>
      <c r="L15" s="41"/>
      <c r="M15" s="41"/>
      <c r="N15" s="41"/>
      <c r="O15" s="41"/>
      <c r="P15" s="41"/>
      <c r="Q15" s="42"/>
    </row>
    <row r="16" spans="1:17" ht="78" x14ac:dyDescent="0.4">
      <c r="A16" s="72"/>
      <c r="B16" s="73"/>
      <c r="C16" s="60" t="s">
        <v>52</v>
      </c>
      <c r="D16" s="60" t="s">
        <v>51</v>
      </c>
      <c r="E16" s="74"/>
      <c r="F16" s="74"/>
      <c r="G16" s="49"/>
      <c r="H16" s="49"/>
      <c r="I16" s="41"/>
      <c r="J16" s="41"/>
      <c r="K16" s="41"/>
      <c r="L16" s="41"/>
      <c r="M16" s="41"/>
      <c r="N16" s="41"/>
      <c r="O16" s="41"/>
      <c r="P16" s="41"/>
      <c r="Q16" s="42"/>
    </row>
    <row r="17" spans="1:17" ht="20.25" x14ac:dyDescent="0.4">
      <c r="A17" s="66" t="s">
        <v>71</v>
      </c>
      <c r="B17" s="75"/>
      <c r="C17" s="57" t="s">
        <v>0</v>
      </c>
      <c r="D17" s="68"/>
      <c r="E17" s="55">
        <f>D17/$D$23*100</f>
        <v>0</v>
      </c>
      <c r="F17" s="61" t="str">
        <f>IF(SUM($E$17:$E$21)&gt;0.2,"Mica must be less than 0.2%", "Acceptable")</f>
        <v>Acceptable</v>
      </c>
      <c r="G17" s="49" t="str">
        <f>IF(SUM($D$17:$D$21)&gt;2,"DO NOT EXCEED 2g", " ")</f>
        <v xml:space="preserve"> </v>
      </c>
      <c r="H17" s="49"/>
      <c r="I17" s="41"/>
      <c r="J17" s="41"/>
      <c r="K17" s="41"/>
      <c r="L17" s="41"/>
      <c r="M17" s="41"/>
      <c r="N17" s="41"/>
      <c r="O17" s="41"/>
      <c r="P17" s="41"/>
      <c r="Q17" s="42"/>
    </row>
    <row r="18" spans="1:17" ht="20.25" x14ac:dyDescent="0.4">
      <c r="A18" s="66" t="s">
        <v>72</v>
      </c>
      <c r="B18" s="75"/>
      <c r="C18" s="57"/>
      <c r="D18" s="68"/>
      <c r="E18" s="55">
        <f t="shared" ref="E18:E21" si="1">D18/$D$23*100</f>
        <v>0</v>
      </c>
      <c r="F18" s="61" t="str">
        <f t="shared" ref="F18:F21" si="2">IF(SUM($E$17:$E$21)&gt;0.2,"Mica must be less than 0.2%", "Acceptable")</f>
        <v>Acceptable</v>
      </c>
      <c r="G18" s="49" t="str">
        <f>IF(SUM($D$17:$D$21)&gt;2,"DO NOT EXCEED 2g", " ")</f>
        <v xml:space="preserve"> </v>
      </c>
      <c r="H18" s="49"/>
      <c r="I18" s="41"/>
      <c r="J18" s="41"/>
      <c r="K18" s="41"/>
      <c r="L18" s="41"/>
      <c r="M18" s="41"/>
      <c r="N18" s="41"/>
      <c r="O18" s="41"/>
      <c r="P18" s="41"/>
      <c r="Q18" s="42"/>
    </row>
    <row r="19" spans="1:17" ht="20.25" x14ac:dyDescent="0.4">
      <c r="A19" s="66" t="s">
        <v>73</v>
      </c>
      <c r="B19" s="75"/>
      <c r="C19" s="57"/>
      <c r="D19" s="68"/>
      <c r="E19" s="55">
        <f t="shared" si="1"/>
        <v>0</v>
      </c>
      <c r="F19" s="61" t="str">
        <f t="shared" si="2"/>
        <v>Acceptable</v>
      </c>
      <c r="G19" s="49" t="str">
        <f>IF(SUM($D$17:$D$21)&gt;2,"DO NOT EXCEED 2g", " ")</f>
        <v xml:space="preserve"> </v>
      </c>
      <c r="H19" s="49"/>
      <c r="I19" s="41"/>
      <c r="J19" s="41"/>
      <c r="K19" s="41"/>
      <c r="L19" s="41"/>
      <c r="M19" s="41"/>
      <c r="N19" s="41"/>
      <c r="O19" s="41"/>
      <c r="P19" s="41"/>
      <c r="Q19" s="42"/>
    </row>
    <row r="20" spans="1:17" ht="20.25" x14ac:dyDescent="0.4">
      <c r="A20" s="66" t="s">
        <v>74</v>
      </c>
      <c r="B20" s="75"/>
      <c r="C20" s="57"/>
      <c r="D20" s="68"/>
      <c r="E20" s="55">
        <f t="shared" si="1"/>
        <v>0</v>
      </c>
      <c r="F20" s="61" t="str">
        <f t="shared" si="2"/>
        <v>Acceptable</v>
      </c>
      <c r="G20" s="49" t="str">
        <f>IF(SUM($D$17:$D$21)&gt;2,"DO NOT EXCEED 2g", " ")</f>
        <v xml:space="preserve"> </v>
      </c>
      <c r="H20" s="49"/>
      <c r="I20" s="41"/>
      <c r="J20" s="41"/>
      <c r="K20" s="41"/>
      <c r="L20" s="41"/>
      <c r="M20" s="41"/>
      <c r="N20" s="41"/>
      <c r="O20" s="41"/>
      <c r="P20" s="41"/>
      <c r="Q20" s="42"/>
    </row>
    <row r="21" spans="1:17" ht="20.25" x14ac:dyDescent="0.4">
      <c r="A21" s="66" t="s">
        <v>75</v>
      </c>
      <c r="B21" s="75"/>
      <c r="C21" s="57"/>
      <c r="D21" s="68"/>
      <c r="E21" s="55">
        <f t="shared" si="1"/>
        <v>0</v>
      </c>
      <c r="F21" s="61" t="str">
        <f t="shared" si="2"/>
        <v>Acceptable</v>
      </c>
      <c r="G21" s="49" t="str">
        <f>IF(SUM($D$17:$D$21)&gt;2,"DO NOT EXCEED 2g", " ")</f>
        <v xml:space="preserve"> </v>
      </c>
      <c r="H21" s="49"/>
      <c r="I21" s="41"/>
      <c r="J21" s="41"/>
      <c r="K21" s="41"/>
      <c r="L21" s="41"/>
      <c r="M21" s="41"/>
      <c r="N21" s="41"/>
      <c r="O21" s="41"/>
      <c r="P21" s="41"/>
      <c r="Q21" s="42"/>
    </row>
    <row r="22" spans="1:17" ht="21" thickBot="1" x14ac:dyDescent="0.45">
      <c r="A22" s="48"/>
      <c r="B22" s="49"/>
      <c r="C22" s="49"/>
      <c r="D22" s="50"/>
      <c r="E22" s="50"/>
      <c r="F22" s="50"/>
      <c r="G22" s="49"/>
      <c r="H22" s="49"/>
      <c r="I22" s="41"/>
      <c r="J22" s="41"/>
      <c r="K22" s="41"/>
      <c r="L22" s="41"/>
      <c r="M22" s="41"/>
      <c r="N22" s="41"/>
      <c r="O22" s="41"/>
      <c r="P22" s="41"/>
      <c r="Q22" s="42"/>
    </row>
    <row r="23" spans="1:17" ht="21" thickBot="1" x14ac:dyDescent="0.45">
      <c r="A23" s="76" t="s">
        <v>50</v>
      </c>
      <c r="B23" s="77"/>
      <c r="C23" s="77"/>
      <c r="D23" s="78">
        <f>D4+D5+D6+D7+D8+D10+D11+D14+D17+D18+D19+D20+D21</f>
        <v>100</v>
      </c>
      <c r="E23" s="79"/>
      <c r="F23" s="79"/>
      <c r="G23" s="77"/>
      <c r="H23" s="77"/>
      <c r="I23" s="43"/>
      <c r="J23" s="43"/>
      <c r="K23" s="43"/>
      <c r="L23" s="43"/>
      <c r="M23" s="43"/>
      <c r="N23" s="43"/>
      <c r="O23" s="43"/>
      <c r="P23" s="43"/>
      <c r="Q23" s="44"/>
    </row>
    <row r="24" spans="1:17" x14ac:dyDescent="0.3">
      <c r="A24" s="37"/>
      <c r="B24" s="37"/>
      <c r="C24" s="37"/>
      <c r="D24" s="38"/>
    </row>
  </sheetData>
  <sheetProtection algorithmName="SHA-512" hashValue="v2MhemkucYDC/15AjLlIlQXQswxxgc+s5NeGsXxoNLhwgjIGLnZgf0+4T7ktCq1I+w2Izp/mUXQREmfTEl5kCg==" saltValue="d6dtyqqtP7zeRLrdiGTW2A==" spinCount="100000" sheet="1" objects="1" scenarios="1"/>
  <mergeCells count="5">
    <mergeCell ref="A12:E12"/>
    <mergeCell ref="G10:G11"/>
    <mergeCell ref="A1:F1"/>
    <mergeCell ref="B17:B21"/>
    <mergeCell ref="A15:E15"/>
  </mergeCells>
  <phoneticPr fontId="5" type="noConversion"/>
  <conditionalFormatting sqref="F8">
    <cfRule type="cellIs" dxfId="9" priority="9" operator="equal">
      <formula>"Acceptable"</formula>
    </cfRule>
    <cfRule type="cellIs" dxfId="8" priority="10" operator="equal">
      <formula>"Must be between 25g-30g"</formula>
    </cfRule>
  </conditionalFormatting>
  <conditionalFormatting sqref="F10:F11">
    <cfRule type="cellIs" dxfId="7" priority="8" operator="equal">
      <formula>"Acceptable"</formula>
    </cfRule>
  </conditionalFormatting>
  <conditionalFormatting sqref="F10">
    <cfRule type="cellIs" dxfId="6" priority="7" operator="equal">
      <formula>"Flavour must be less than 2%"</formula>
    </cfRule>
  </conditionalFormatting>
  <conditionalFormatting sqref="F11">
    <cfRule type="cellIs" dxfId="5" priority="6" operator="equal">
      <formula>"Flavour must be less than 2%"</formula>
    </cfRule>
  </conditionalFormatting>
  <conditionalFormatting sqref="F17:F21">
    <cfRule type="cellIs" dxfId="4" priority="3" operator="equal">
      <formula>"Mica must be less than 0.2%"</formula>
    </cfRule>
    <cfRule type="cellIs" dxfId="3" priority="5" operator="equal">
      <formula>"Acceptable"</formula>
    </cfRule>
  </conditionalFormatting>
  <conditionalFormatting sqref="F17:F21">
    <cfRule type="cellIs" dxfId="2" priority="4" operator="equal">
      <formula>"Flavour must be less than 2%"</formula>
    </cfRule>
  </conditionalFormatting>
  <conditionalFormatting sqref="F14">
    <cfRule type="cellIs" dxfId="0" priority="2" operator="equal">
      <formula>"Do not exceed 200g"</formula>
    </cfRule>
    <cfRule type="cellIs" dxfId="1" priority="1" operator="equal">
      <formula>"Acceptable"</formula>
    </cfRule>
  </conditionalFormatting>
  <pageMargins left="0.7" right="0.7" top="0.75" bottom="0.75" header="0.3" footer="0.3"/>
  <pageSetup paperSize="9" orientation="portrait" horizontalDpi="3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13B3F3C-5890-4CD2-B411-A0157A2D697A}">
          <x14:formula1>
            <xm:f>Butters!$L$1:$L$3</xm:f>
          </x14:formula1>
          <xm:sqref>C7</xm:sqref>
        </x14:dataValidation>
        <x14:dataValidation type="list" allowBlank="1" showInputMessage="1" showErrorMessage="1" xr:uid="{DF446232-E1DA-4702-B880-03B7D5F2D75E}">
          <x14:formula1>
            <xm:f>Waxes!$A$1:$A$3</xm:f>
          </x14:formula1>
          <xm:sqref>C8</xm:sqref>
        </x14:dataValidation>
        <x14:dataValidation type="list" allowBlank="1" showInputMessage="1" showErrorMessage="1" xr:uid="{D0E793BD-1979-401D-88EE-CA41AE464FB3}">
          <x14:formula1>
            <xm:f>Mica!$A$2:$A$8</xm:f>
          </x14:formula1>
          <xm:sqref>C17:C21</xm:sqref>
        </x14:dataValidation>
        <x14:dataValidation type="list" allowBlank="1" showInputMessage="1" showErrorMessage="1" xr:uid="{E22C5EA2-B7B5-43F2-9565-179FFA5A2856}">
          <x14:formula1>
            <xm:f>Aroma!$B$1:$L$1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BF95D-0A8E-4E59-A1CB-82E6093B6D68}">
  <sheetPr codeName="Sheet2"/>
  <dimension ref="A1:H42"/>
  <sheetViews>
    <sheetView tabSelected="1" topLeftCell="A16" workbookViewId="0">
      <selection activeCell="D16" sqref="D16"/>
    </sheetView>
  </sheetViews>
  <sheetFormatPr defaultRowHeight="17.25" x14ac:dyDescent="0.35"/>
  <cols>
    <col min="1" max="1" width="5.85546875" style="8" customWidth="1"/>
    <col min="2" max="2" width="44.140625" style="8" customWidth="1"/>
    <col min="3" max="3" width="11.140625" style="29" customWidth="1"/>
    <col min="4" max="4" width="49.7109375" style="8" bestFit="1" customWidth="1"/>
    <col min="5" max="7" width="9.140625" style="8" hidden="1" customWidth="1"/>
    <col min="8" max="8" width="0" style="8" hidden="1" customWidth="1"/>
    <col min="9" max="16384" width="9.140625" style="8"/>
  </cols>
  <sheetData>
    <row r="1" spans="1:8" ht="18" thickBot="1" x14ac:dyDescent="0.4"/>
    <row r="2" spans="1:8" ht="38.25" customHeight="1" thickBot="1" x14ac:dyDescent="0.4">
      <c r="A2" s="82" t="s">
        <v>53</v>
      </c>
      <c r="B2" s="31" t="s">
        <v>40</v>
      </c>
      <c r="C2" s="35">
        <f>Recipe!E4</f>
        <v>10</v>
      </c>
      <c r="H2" s="10" t="s">
        <v>62</v>
      </c>
    </row>
    <row r="3" spans="1:8" ht="33" customHeight="1" thickBot="1" x14ac:dyDescent="0.4">
      <c r="A3" s="82"/>
      <c r="B3" s="31" t="s">
        <v>90</v>
      </c>
      <c r="C3" s="35">
        <f>Recipe!E5</f>
        <v>25</v>
      </c>
      <c r="H3" s="13" t="s">
        <v>63</v>
      </c>
    </row>
    <row r="4" spans="1:8" ht="36.75" customHeight="1" thickBot="1" x14ac:dyDescent="0.4">
      <c r="A4" s="82"/>
      <c r="B4" s="31" t="s">
        <v>91</v>
      </c>
      <c r="C4" s="35">
        <f>Recipe!E6</f>
        <v>25</v>
      </c>
      <c r="H4" s="13" t="s">
        <v>64</v>
      </c>
    </row>
    <row r="5" spans="1:8" ht="35.25" thickBot="1" x14ac:dyDescent="0.4">
      <c r="A5" s="82" t="s">
        <v>95</v>
      </c>
      <c r="B5" s="31" t="s">
        <v>92</v>
      </c>
      <c r="C5" s="36">
        <f>IF(Recipe!$C$8="Candellila Wax",Recipe!$E$8,"0")</f>
        <v>25</v>
      </c>
      <c r="H5" s="10" t="s">
        <v>28</v>
      </c>
    </row>
    <row r="6" spans="1:8" ht="35.25" thickBot="1" x14ac:dyDescent="0.4">
      <c r="A6" s="82"/>
      <c r="B6" s="31" t="s">
        <v>93</v>
      </c>
      <c r="C6" s="36" t="str">
        <f>IF(Recipe!$C$8="Bees Wax",Recipe!$E$8,"0.00")</f>
        <v>0.00</v>
      </c>
      <c r="H6" s="13" t="s">
        <v>33</v>
      </c>
    </row>
    <row r="7" spans="1:8" ht="34.5" x14ac:dyDescent="0.35">
      <c r="A7" s="82"/>
      <c r="B7" s="31" t="s">
        <v>94</v>
      </c>
      <c r="C7" s="36" t="str">
        <f>IF(Recipe!$C$8="Refined Rice Bran Wax",Recipe!$E$8,"0.00")</f>
        <v>0.00</v>
      </c>
      <c r="H7" s="16" t="s">
        <v>35</v>
      </c>
    </row>
    <row r="8" spans="1:8" ht="18" customHeight="1" x14ac:dyDescent="0.35">
      <c r="A8" s="82" t="s">
        <v>57</v>
      </c>
      <c r="B8" s="31" t="s">
        <v>30</v>
      </c>
      <c r="C8" s="36" t="str">
        <f>IF(Recipe!$C$7="Shea Butter",Recipe!$E$7,"0.00")</f>
        <v>0.00</v>
      </c>
    </row>
    <row r="9" spans="1:8" x14ac:dyDescent="0.35">
      <c r="A9" s="82"/>
      <c r="B9" s="31" t="s">
        <v>34</v>
      </c>
      <c r="C9" s="36" t="str">
        <f>IF(Recipe!$C$7="Mango Butter",Recipe!$E$7,"0.00")</f>
        <v>0.00</v>
      </c>
    </row>
    <row r="10" spans="1:8" x14ac:dyDescent="0.35">
      <c r="A10" s="82"/>
      <c r="B10" s="31" t="s">
        <v>36</v>
      </c>
      <c r="C10" s="36">
        <f>E10/100*49.5</f>
        <v>7.4249999999999998</v>
      </c>
      <c r="E10" s="32">
        <f>IF(Recipe!$C$7="Avocado Butter",Recipe!$E$7,"0.00")</f>
        <v>15</v>
      </c>
    </row>
    <row r="11" spans="1:8" ht="18" customHeight="1" x14ac:dyDescent="0.35">
      <c r="A11" s="82"/>
      <c r="B11" s="31" t="s">
        <v>39</v>
      </c>
      <c r="C11" s="36">
        <f>E11/100*49.5</f>
        <v>7.4249999999999998</v>
      </c>
      <c r="E11" s="32">
        <f>IF(Recipe!$C$7="Avocado Butter",Recipe!$E$7,"0.00")</f>
        <v>15</v>
      </c>
    </row>
    <row r="12" spans="1:8" x14ac:dyDescent="0.35">
      <c r="A12" s="82"/>
      <c r="B12" s="31" t="s">
        <v>96</v>
      </c>
      <c r="C12" s="36">
        <f>E12/100*1</f>
        <v>0.15</v>
      </c>
      <c r="E12" s="32">
        <f>IF(Recipe!$C$7="Avocado Butter",Recipe!$E$7,"0.00")</f>
        <v>15</v>
      </c>
    </row>
    <row r="13" spans="1:8" ht="57" x14ac:dyDescent="0.35">
      <c r="A13" s="83" t="s">
        <v>97</v>
      </c>
      <c r="B13" s="33" t="s">
        <v>98</v>
      </c>
      <c r="C13" s="36">
        <f>Recipe!E10+Recipe!E11</f>
        <v>0</v>
      </c>
    </row>
    <row r="14" spans="1:8" ht="86.25" x14ac:dyDescent="0.35">
      <c r="A14" s="83" t="s">
        <v>99</v>
      </c>
      <c r="B14" s="33" t="s">
        <v>89</v>
      </c>
      <c r="C14" s="36">
        <f>Recipe!E14</f>
        <v>0</v>
      </c>
    </row>
    <row r="15" spans="1:8" ht="36" customHeight="1" x14ac:dyDescent="0.35">
      <c r="A15" s="82" t="s">
        <v>100</v>
      </c>
      <c r="B15" s="30" t="s">
        <v>102</v>
      </c>
      <c r="C15" s="36">
        <f>Recipe!E17</f>
        <v>0</v>
      </c>
    </row>
    <row r="16" spans="1:8" x14ac:dyDescent="0.35">
      <c r="A16" s="82"/>
      <c r="B16" s="30" t="s">
        <v>102</v>
      </c>
      <c r="C16" s="36">
        <f>Recipe!E18</f>
        <v>0</v>
      </c>
    </row>
    <row r="17" spans="1:7" x14ac:dyDescent="0.35">
      <c r="A17" s="82"/>
      <c r="B17" s="30" t="s">
        <v>68</v>
      </c>
      <c r="C17" s="36">
        <f>Recipe!E19</f>
        <v>0</v>
      </c>
    </row>
    <row r="18" spans="1:7" x14ac:dyDescent="0.35">
      <c r="A18" s="82"/>
      <c r="B18" s="30" t="s">
        <v>68</v>
      </c>
      <c r="C18" s="36">
        <f>Recipe!E20</f>
        <v>0</v>
      </c>
    </row>
    <row r="19" spans="1:7" x14ac:dyDescent="0.35">
      <c r="A19" s="82"/>
      <c r="B19" s="30" t="s">
        <v>68</v>
      </c>
      <c r="C19" s="36">
        <f>Recipe!E21</f>
        <v>0</v>
      </c>
    </row>
    <row r="20" spans="1:7" ht="15" customHeight="1" x14ac:dyDescent="0.35">
      <c r="A20" s="84" t="s">
        <v>101</v>
      </c>
      <c r="B20" s="85" t="s">
        <v>2</v>
      </c>
      <c r="C20" s="86">
        <f>(Recipe!$E$10/100*'INCI Helper'!E20)+(Recipe!$E$11/100*'INCI Helper'!G20)</f>
        <v>0</v>
      </c>
      <c r="D20" s="87" t="str">
        <f>IF(C20&gt;0.001,"Allergens over 0.001% require placing on the labelling","Allergens below declarable level")</f>
        <v>Allergens below declarable level</v>
      </c>
      <c r="E20" s="8">
        <f>HLOOKUP(Recipe!$C$10,Aroma!$A$1:$L$27,4,FALSE)</f>
        <v>0</v>
      </c>
      <c r="F20" s="8">
        <v>4</v>
      </c>
      <c r="G20" s="8">
        <f>HLOOKUP(Recipe!$C$11,Aroma!$A$1:$L$27,4,FALSE)</f>
        <v>0</v>
      </c>
    </row>
    <row r="21" spans="1:7" x14ac:dyDescent="0.35">
      <c r="A21" s="88"/>
      <c r="B21" s="85" t="s">
        <v>3</v>
      </c>
      <c r="C21" s="86">
        <f>(Recipe!$E$10/100*'INCI Helper'!E21)+(Recipe!$E$11/100*'INCI Helper'!G21)</f>
        <v>0</v>
      </c>
      <c r="D21" s="87" t="str">
        <f t="shared" ref="D21:D42" si="0">IF(C21&gt;0.001,"Allergens over 0.001% require placing on the labelling","Allergens below declarable level")</f>
        <v>Allergens below declarable level</v>
      </c>
      <c r="E21" s="8">
        <f>HLOOKUP(Recipe!$C$10,Aroma!$A$1:$L$27,5,FALSE)</f>
        <v>0</v>
      </c>
      <c r="F21" s="8">
        <f>F20+1</f>
        <v>5</v>
      </c>
      <c r="G21" s="8">
        <f>HLOOKUP(Recipe!$C$11,Aroma!$A$1:$L$27,5,FALSE)</f>
        <v>0</v>
      </c>
    </row>
    <row r="22" spans="1:7" x14ac:dyDescent="0.35">
      <c r="A22" s="88"/>
      <c r="B22" s="85" t="s">
        <v>4</v>
      </c>
      <c r="C22" s="86">
        <f>(Recipe!$E$10/100*'INCI Helper'!E22)+(Recipe!$E$11/100*'INCI Helper'!G22)</f>
        <v>0</v>
      </c>
      <c r="D22" s="87" t="str">
        <f t="shared" si="0"/>
        <v>Allergens below declarable level</v>
      </c>
      <c r="E22" s="8">
        <f>HLOOKUP(Recipe!$C$10,Aroma!$A$1:$L$27,6,FALSE)</f>
        <v>0</v>
      </c>
      <c r="F22" s="8">
        <f t="shared" ref="F22:F42" si="1">F21+1</f>
        <v>6</v>
      </c>
      <c r="G22" s="8">
        <f>HLOOKUP(Recipe!$C$11,Aroma!$A$1:$L$27,6,FALSE)</f>
        <v>0</v>
      </c>
    </row>
    <row r="23" spans="1:7" x14ac:dyDescent="0.35">
      <c r="A23" s="88"/>
      <c r="B23" s="85" t="s">
        <v>5</v>
      </c>
      <c r="C23" s="86">
        <f>(Recipe!$E$10/100*'INCI Helper'!E23)+(Recipe!$E$11/100*'INCI Helper'!G23)</f>
        <v>0</v>
      </c>
      <c r="D23" s="87" t="str">
        <f t="shared" si="0"/>
        <v>Allergens below declarable level</v>
      </c>
      <c r="E23" s="8">
        <f>HLOOKUP(Recipe!$C$10,Aroma!$A$1:$L$27,7,FALSE)</f>
        <v>0</v>
      </c>
      <c r="F23" s="8">
        <f t="shared" si="1"/>
        <v>7</v>
      </c>
      <c r="G23" s="8">
        <f>HLOOKUP(Recipe!$C$11,Aroma!$A$1:$L$27,7,FALSE)</f>
        <v>0</v>
      </c>
    </row>
    <row r="24" spans="1:7" x14ac:dyDescent="0.35">
      <c r="A24" s="88"/>
      <c r="B24" s="85" t="s">
        <v>6</v>
      </c>
      <c r="C24" s="86">
        <f>(Recipe!$E$10/100*'INCI Helper'!E24)+(Recipe!$E$11/100*'INCI Helper'!G24)</f>
        <v>0</v>
      </c>
      <c r="D24" s="87" t="str">
        <f t="shared" si="0"/>
        <v>Allergens below declarable level</v>
      </c>
      <c r="E24" s="8">
        <f>HLOOKUP(Recipe!$C$10,Aroma!$A$1:$L$27,8,FALSE)</f>
        <v>0</v>
      </c>
      <c r="F24" s="8">
        <f t="shared" si="1"/>
        <v>8</v>
      </c>
      <c r="G24" s="8">
        <f>HLOOKUP(Recipe!$C$11,Aroma!$A$1:$L$27,8,FALSE)</f>
        <v>0</v>
      </c>
    </row>
    <row r="25" spans="1:7" x14ac:dyDescent="0.35">
      <c r="A25" s="88"/>
      <c r="B25" s="85" t="s">
        <v>7</v>
      </c>
      <c r="C25" s="86">
        <f>(Recipe!$E$10/100*'INCI Helper'!E25)+(Recipe!$E$11/100*'INCI Helper'!G25)</f>
        <v>0</v>
      </c>
      <c r="D25" s="87" t="str">
        <f t="shared" si="0"/>
        <v>Allergens below declarable level</v>
      </c>
      <c r="E25" s="8">
        <f>HLOOKUP(Recipe!$C$10,Aroma!$A$1:$L$27,9,FALSE)</f>
        <v>0</v>
      </c>
      <c r="F25" s="8">
        <f t="shared" si="1"/>
        <v>9</v>
      </c>
      <c r="G25" s="8">
        <f>HLOOKUP(Recipe!$C$11,Aroma!$A$1:$L$27,9,FALSE)</f>
        <v>0</v>
      </c>
    </row>
    <row r="26" spans="1:7" x14ac:dyDescent="0.35">
      <c r="A26" s="88"/>
      <c r="B26" s="85" t="s">
        <v>8</v>
      </c>
      <c r="C26" s="86">
        <f>(Recipe!$E$10/100*'INCI Helper'!E26)+(Recipe!$E$11/100*'INCI Helper'!G26)</f>
        <v>0</v>
      </c>
      <c r="D26" s="87" t="str">
        <f t="shared" si="0"/>
        <v>Allergens below declarable level</v>
      </c>
      <c r="E26" s="8">
        <f>HLOOKUP(Recipe!$C$10,Aroma!$A$1:$L$27,10,FALSE)</f>
        <v>0</v>
      </c>
      <c r="F26" s="8">
        <f t="shared" si="1"/>
        <v>10</v>
      </c>
      <c r="G26" s="8">
        <f>HLOOKUP(Recipe!$C$11,Aroma!$A$1:$L$27,10,FALSE)</f>
        <v>0</v>
      </c>
    </row>
    <row r="27" spans="1:7" x14ac:dyDescent="0.35">
      <c r="A27" s="88"/>
      <c r="B27" s="85" t="s">
        <v>9</v>
      </c>
      <c r="C27" s="86">
        <f>(Recipe!$E$10/100*'INCI Helper'!E27)+(Recipe!$E$11/100*'INCI Helper'!G27)</f>
        <v>0</v>
      </c>
      <c r="D27" s="87" t="str">
        <f t="shared" si="0"/>
        <v>Allergens below declarable level</v>
      </c>
      <c r="E27" s="8">
        <f>HLOOKUP(Recipe!$C$10,Aroma!$A$1:$L$27,11,FALSE)</f>
        <v>0</v>
      </c>
      <c r="F27" s="8">
        <f t="shared" si="1"/>
        <v>11</v>
      </c>
      <c r="G27" s="8">
        <f>HLOOKUP(Recipe!$C$11,Aroma!$A$1:$L$27,11,FALSE)</f>
        <v>0</v>
      </c>
    </row>
    <row r="28" spans="1:7" x14ac:dyDescent="0.35">
      <c r="A28" s="88"/>
      <c r="B28" s="85" t="s">
        <v>10</v>
      </c>
      <c r="C28" s="86">
        <f>(Recipe!$E$10/100*'INCI Helper'!E28)+(Recipe!$E$11/100*'INCI Helper'!G28)</f>
        <v>0</v>
      </c>
      <c r="D28" s="87" t="str">
        <f t="shared" si="0"/>
        <v>Allergens below declarable level</v>
      </c>
      <c r="E28" s="8">
        <f>HLOOKUP(Recipe!$C$10,Aroma!$A$1:$L$27,12,FALSE)</f>
        <v>0.4</v>
      </c>
      <c r="F28" s="8">
        <f t="shared" si="1"/>
        <v>12</v>
      </c>
      <c r="G28" s="8">
        <f>HLOOKUP(Recipe!$C$11,Aroma!$A$1:$L$27,12,FALSE)</f>
        <v>0</v>
      </c>
    </row>
    <row r="29" spans="1:7" x14ac:dyDescent="0.35">
      <c r="A29" s="88"/>
      <c r="B29" s="85" t="s">
        <v>11</v>
      </c>
      <c r="C29" s="86">
        <f>(Recipe!$E$10/100*'INCI Helper'!E29)+(Recipe!$E$11/100*'INCI Helper'!G29)</f>
        <v>0</v>
      </c>
      <c r="D29" s="87" t="str">
        <f t="shared" si="0"/>
        <v>Allergens below declarable level</v>
      </c>
      <c r="E29" s="8">
        <f>HLOOKUP(Recipe!$C$10,Aroma!$A$1:$L$27,13,FALSE)</f>
        <v>0</v>
      </c>
      <c r="F29" s="8">
        <f t="shared" si="1"/>
        <v>13</v>
      </c>
      <c r="G29" s="8">
        <f>HLOOKUP(Recipe!$C$11,Aroma!$A$1:$L$27,13,FALSE)</f>
        <v>0</v>
      </c>
    </row>
    <row r="30" spans="1:7" x14ac:dyDescent="0.35">
      <c r="A30" s="88"/>
      <c r="B30" s="85" t="s">
        <v>12</v>
      </c>
      <c r="C30" s="86">
        <f>(Recipe!$E$10/100*'INCI Helper'!E30)+(Recipe!$E$11/100*'INCI Helper'!G30)</f>
        <v>0</v>
      </c>
      <c r="D30" s="87" t="str">
        <f t="shared" si="0"/>
        <v>Allergens below declarable level</v>
      </c>
      <c r="E30" s="8">
        <f>HLOOKUP(Recipe!$C$10,Aroma!$A$1:$L$27,14,FALSE)</f>
        <v>0</v>
      </c>
      <c r="F30" s="8">
        <f t="shared" si="1"/>
        <v>14</v>
      </c>
      <c r="G30" s="8">
        <f>HLOOKUP(Recipe!$C$11,Aroma!$A$1:$L$27,14,FALSE)</f>
        <v>0</v>
      </c>
    </row>
    <row r="31" spans="1:7" x14ac:dyDescent="0.35">
      <c r="A31" s="88"/>
      <c r="B31" s="85" t="s">
        <v>13</v>
      </c>
      <c r="C31" s="86">
        <f>(Recipe!$E$10/100*'INCI Helper'!E31)+(Recipe!$E$11/100*'INCI Helper'!G31)</f>
        <v>0</v>
      </c>
      <c r="D31" s="87" t="str">
        <f t="shared" si="0"/>
        <v>Allergens below declarable level</v>
      </c>
      <c r="E31" s="8">
        <f>HLOOKUP(Recipe!$C$10,Aroma!$A$1:$L$27,15,FALSE)</f>
        <v>0</v>
      </c>
      <c r="F31" s="8">
        <f t="shared" si="1"/>
        <v>15</v>
      </c>
      <c r="G31" s="8">
        <f>HLOOKUP(Recipe!$C$11,Aroma!$A$1:$L$27,15,FALSE)</f>
        <v>0</v>
      </c>
    </row>
    <row r="32" spans="1:7" x14ac:dyDescent="0.35">
      <c r="A32" s="88"/>
      <c r="B32" s="85" t="s">
        <v>14</v>
      </c>
      <c r="C32" s="86">
        <f>(Recipe!$E$10/100*'INCI Helper'!E32)+(Recipe!$E$11/100*'INCI Helper'!G32)</f>
        <v>0</v>
      </c>
      <c r="D32" s="87" t="str">
        <f t="shared" si="0"/>
        <v>Allergens below declarable level</v>
      </c>
      <c r="E32" s="8">
        <f>HLOOKUP(Recipe!$C$10,Aroma!$A$1:$L$27,16,FALSE)</f>
        <v>0</v>
      </c>
      <c r="F32" s="8">
        <f t="shared" si="1"/>
        <v>16</v>
      </c>
      <c r="G32" s="8">
        <f>HLOOKUP(Recipe!$C$11,Aroma!$A$1:$L$27,16,FALSE)</f>
        <v>0</v>
      </c>
    </row>
    <row r="33" spans="1:7" x14ac:dyDescent="0.35">
      <c r="A33" s="88"/>
      <c r="B33" s="85" t="s">
        <v>15</v>
      </c>
      <c r="C33" s="86">
        <f>(Recipe!$E$10/100*'INCI Helper'!E33)+(Recipe!$E$11/100*'INCI Helper'!G33)</f>
        <v>0</v>
      </c>
      <c r="D33" s="87" t="str">
        <f t="shared" si="0"/>
        <v>Allergens below declarable level</v>
      </c>
      <c r="E33" s="8">
        <f>HLOOKUP(Recipe!$C$10,Aroma!$A$1:$L$27,17,FALSE)</f>
        <v>0.4</v>
      </c>
      <c r="F33" s="8">
        <f t="shared" si="1"/>
        <v>17</v>
      </c>
      <c r="G33" s="8">
        <f>HLOOKUP(Recipe!$C$11,Aroma!$A$1:$L$27,17,FALSE)</f>
        <v>0</v>
      </c>
    </row>
    <row r="34" spans="1:7" x14ac:dyDescent="0.35">
      <c r="A34" s="88"/>
      <c r="B34" s="85" t="s">
        <v>16</v>
      </c>
      <c r="C34" s="86">
        <f>(Recipe!$E$10/100*'INCI Helper'!E34)+(Recipe!$E$11/100*'INCI Helper'!G34)</f>
        <v>0</v>
      </c>
      <c r="D34" s="87" t="str">
        <f t="shared" si="0"/>
        <v>Allergens below declarable level</v>
      </c>
      <c r="E34" s="8">
        <f>HLOOKUP(Recipe!$C$10,Aroma!$A$1:$L$27,18,FALSE)</f>
        <v>0</v>
      </c>
      <c r="F34" s="8">
        <f t="shared" si="1"/>
        <v>18</v>
      </c>
      <c r="G34" s="8">
        <f>HLOOKUP(Recipe!$C$11,Aroma!$A$1:$L$27,18,FALSE)</f>
        <v>0</v>
      </c>
    </row>
    <row r="35" spans="1:7" x14ac:dyDescent="0.35">
      <c r="A35" s="88"/>
      <c r="B35" s="85" t="s">
        <v>17</v>
      </c>
      <c r="C35" s="86">
        <f>(Recipe!$E$10/100*'INCI Helper'!E35)+(Recipe!$E$11/100*'INCI Helper'!G35)</f>
        <v>0</v>
      </c>
      <c r="D35" s="87" t="str">
        <f t="shared" si="0"/>
        <v>Allergens below declarable level</v>
      </c>
      <c r="E35" s="8">
        <f>HLOOKUP(Recipe!$C$10,Aroma!$A$1:$L$27,19,FALSE)</f>
        <v>0</v>
      </c>
      <c r="F35" s="8">
        <f t="shared" si="1"/>
        <v>19</v>
      </c>
      <c r="G35" s="8">
        <f>HLOOKUP(Recipe!$C$11,Aroma!$A$1:$L$27,19,FALSE)</f>
        <v>0</v>
      </c>
    </row>
    <row r="36" spans="1:7" x14ac:dyDescent="0.35">
      <c r="A36" s="88"/>
      <c r="B36" s="85" t="s">
        <v>18</v>
      </c>
      <c r="C36" s="86">
        <f>(Recipe!$E$10/100*'INCI Helper'!E36)+(Recipe!$E$11/100*'INCI Helper'!G36)</f>
        <v>0</v>
      </c>
      <c r="D36" s="87" t="str">
        <f t="shared" si="0"/>
        <v>Allergens below declarable level</v>
      </c>
      <c r="E36" s="8">
        <f>HLOOKUP(Recipe!$C$10,Aroma!$A$1:$L$27,20,FALSE)</f>
        <v>0</v>
      </c>
      <c r="F36" s="8">
        <f t="shared" si="1"/>
        <v>20</v>
      </c>
      <c r="G36" s="8">
        <f>HLOOKUP(Recipe!$C$11,Aroma!$A$1:$L$27,20,FALSE)</f>
        <v>0</v>
      </c>
    </row>
    <row r="37" spans="1:7" x14ac:dyDescent="0.35">
      <c r="A37" s="88"/>
      <c r="B37" s="85" t="s">
        <v>19</v>
      </c>
      <c r="C37" s="86">
        <f>(Recipe!$E$10/100*'INCI Helper'!E37)+(Recipe!$E$11/100*'INCI Helper'!G37)</f>
        <v>0</v>
      </c>
      <c r="D37" s="87" t="str">
        <f t="shared" si="0"/>
        <v>Allergens below declarable level</v>
      </c>
      <c r="E37" s="8">
        <f>HLOOKUP(Recipe!$C$10,Aroma!$A$1:$L$27,21,FALSE)</f>
        <v>0</v>
      </c>
      <c r="F37" s="8">
        <f t="shared" si="1"/>
        <v>21</v>
      </c>
      <c r="G37" s="8">
        <f>HLOOKUP(Recipe!$C$11,Aroma!$A$1:$L$27,21,FALSE)</f>
        <v>0</v>
      </c>
    </row>
    <row r="38" spans="1:7" x14ac:dyDescent="0.35">
      <c r="A38" s="88"/>
      <c r="B38" s="85" t="s">
        <v>20</v>
      </c>
      <c r="C38" s="86">
        <f>(Recipe!$E$10/100*'INCI Helper'!E38)+(Recipe!$E$11/100*'INCI Helper'!G38)</f>
        <v>0</v>
      </c>
      <c r="D38" s="87" t="str">
        <f t="shared" si="0"/>
        <v>Allergens below declarable level</v>
      </c>
      <c r="E38" s="8">
        <f>HLOOKUP(Recipe!$C$10,Aroma!$A$1:$L$27,22,FALSE)</f>
        <v>0</v>
      </c>
      <c r="F38" s="8">
        <f t="shared" si="1"/>
        <v>22</v>
      </c>
      <c r="G38" s="8">
        <f>HLOOKUP(Recipe!$C$11,Aroma!$A$1:$L$27,22,FALSE)</f>
        <v>0</v>
      </c>
    </row>
    <row r="39" spans="1:7" x14ac:dyDescent="0.35">
      <c r="A39" s="88"/>
      <c r="B39" s="85" t="s">
        <v>21</v>
      </c>
      <c r="C39" s="86">
        <f>(Recipe!$E$10/100*'INCI Helper'!E39)+(Recipe!$E$11/100*'INCI Helper'!G39)</f>
        <v>0</v>
      </c>
      <c r="D39" s="87" t="str">
        <f t="shared" si="0"/>
        <v>Allergens below declarable level</v>
      </c>
      <c r="E39" s="8">
        <f>HLOOKUP(Recipe!$C$10,Aroma!$A$1:$L$27,23,FALSE)</f>
        <v>0</v>
      </c>
      <c r="F39" s="8">
        <f t="shared" si="1"/>
        <v>23</v>
      </c>
      <c r="G39" s="8">
        <f>HLOOKUP(Recipe!$C$11,Aroma!$A$1:$L$27,23,FALSE)</f>
        <v>0</v>
      </c>
    </row>
    <row r="40" spans="1:7" x14ac:dyDescent="0.35">
      <c r="A40" s="88"/>
      <c r="B40" s="85" t="s">
        <v>22</v>
      </c>
      <c r="C40" s="86">
        <f>(Recipe!$E$10/100*'INCI Helper'!E40)+(Recipe!$E$11/100*'INCI Helper'!G40)</f>
        <v>0</v>
      </c>
      <c r="D40" s="87" t="str">
        <f t="shared" si="0"/>
        <v>Allergens below declarable level</v>
      </c>
      <c r="E40" s="8">
        <f>HLOOKUP(Recipe!$C$10,Aroma!$A$1:$L$27,24,FALSE)</f>
        <v>0</v>
      </c>
      <c r="F40" s="8">
        <f t="shared" si="1"/>
        <v>24</v>
      </c>
      <c r="G40" s="8">
        <f>HLOOKUP(Recipe!$C$11,Aroma!$A$1:$L$27,24,FALSE)</f>
        <v>1.1000000000000001E-3</v>
      </c>
    </row>
    <row r="41" spans="1:7" x14ac:dyDescent="0.35">
      <c r="A41" s="88"/>
      <c r="B41" s="85" t="s">
        <v>23</v>
      </c>
      <c r="C41" s="86">
        <f>(Recipe!$E$10/100*'INCI Helper'!E41)+(Recipe!$E$11/100*'INCI Helper'!G41)</f>
        <v>0</v>
      </c>
      <c r="D41" s="87" t="str">
        <f t="shared" si="0"/>
        <v>Allergens below declarable level</v>
      </c>
      <c r="E41" s="8">
        <f>HLOOKUP(Recipe!$C$10,Aroma!$A$1:$L$27,25,FALSE)</f>
        <v>0</v>
      </c>
      <c r="F41" s="8">
        <f t="shared" si="1"/>
        <v>25</v>
      </c>
      <c r="G41" s="8">
        <f>HLOOKUP(Recipe!$C$11,Aroma!$A$1:$L$27,25,FALSE)</f>
        <v>2.0000000000000001E-4</v>
      </c>
    </row>
    <row r="42" spans="1:7" x14ac:dyDescent="0.35">
      <c r="A42" s="88"/>
      <c r="B42" s="85" t="s">
        <v>24</v>
      </c>
      <c r="C42" s="86">
        <f>(Recipe!$E$10/100*'INCI Helper'!E42)+(Recipe!$E$11/100*'INCI Helper'!G42)</f>
        <v>0</v>
      </c>
      <c r="D42" s="87" t="str">
        <f t="shared" si="0"/>
        <v>Allergens below declarable level</v>
      </c>
      <c r="E42" s="8">
        <f>HLOOKUP(Recipe!$C$10,Aroma!$A$1:$L$27,26,FALSE)</f>
        <v>0</v>
      </c>
      <c r="F42" s="8">
        <f t="shared" si="1"/>
        <v>26</v>
      </c>
      <c r="G42" s="8">
        <f>HLOOKUP(Recipe!$C$11,Aroma!$A$1:$L$27,26,FALSE)</f>
        <v>0</v>
      </c>
    </row>
  </sheetData>
  <sheetProtection algorithmName="SHA-512" hashValue="339cXxks/fMoVDd1AxIT1C9lP8wva+w2W/ktM/EXeSk3AlIGmW3ErCfX5Ygcu3EYpEsTOxLRq53D4XYxc4awSw==" saltValue="O9G+1OzQwB/VhYB5xlaKgg==" spinCount="100000" sheet="1" objects="1" scenarios="1"/>
  <mergeCells count="5">
    <mergeCell ref="A20:A42"/>
    <mergeCell ref="A2:A4"/>
    <mergeCell ref="A5:A7"/>
    <mergeCell ref="A8:A12"/>
    <mergeCell ref="A15:A19"/>
  </mergeCells>
  <conditionalFormatting sqref="D20:D42">
    <cfRule type="cellIs" dxfId="10" priority="2" operator="equal">
      <formula>"Allergens below declarable level"</formula>
    </cfRule>
    <cfRule type="cellIs" dxfId="11" priority="1" operator="equal">
      <formula>"Allergens over 0.001% require placing on the labelling"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D7C8-FBF4-4F42-A7E2-E3BE843E6196}">
  <sheetPr codeName="Sheet3"/>
  <dimension ref="A1:P27"/>
  <sheetViews>
    <sheetView workbookViewId="0">
      <selection activeCell="A4" sqref="A4:A26"/>
    </sheetView>
  </sheetViews>
  <sheetFormatPr defaultRowHeight="15" x14ac:dyDescent="0.25"/>
  <cols>
    <col min="1" max="1" width="22.85546875" bestFit="1" customWidth="1"/>
    <col min="3" max="3" width="13.5703125" customWidth="1"/>
    <col min="4" max="4" width="10.28515625" bestFit="1" customWidth="1"/>
    <col min="5" max="5" width="12" customWidth="1"/>
    <col min="6" max="6" width="12.28515625" customWidth="1"/>
    <col min="9" max="9" width="9.85546875" bestFit="1" customWidth="1"/>
    <col min="10" max="10" width="10.7109375" bestFit="1" customWidth="1"/>
    <col min="12" max="12" width="12" bestFit="1" customWidth="1"/>
  </cols>
  <sheetData>
    <row r="1" spans="1:16" s="20" customFormat="1" ht="30" x14ac:dyDescent="0.25">
      <c r="A1" s="2"/>
      <c r="B1" s="23" t="s">
        <v>0</v>
      </c>
      <c r="C1" s="24" t="s">
        <v>77</v>
      </c>
      <c r="D1" s="25" t="s">
        <v>78</v>
      </c>
      <c r="E1" s="24" t="s">
        <v>81</v>
      </c>
      <c r="F1" s="24" t="s">
        <v>82</v>
      </c>
      <c r="G1" s="25" t="s">
        <v>83</v>
      </c>
      <c r="H1" s="25" t="s">
        <v>84</v>
      </c>
      <c r="I1" s="25" t="s">
        <v>85</v>
      </c>
      <c r="J1" s="25" t="s">
        <v>86</v>
      </c>
      <c r="K1" s="25" t="s">
        <v>87</v>
      </c>
      <c r="L1" s="25" t="s">
        <v>88</v>
      </c>
      <c r="M1" s="25"/>
      <c r="N1" s="25"/>
      <c r="O1" s="25"/>
      <c r="P1" s="25"/>
    </row>
    <row r="2" spans="1:16" x14ac:dyDescent="0.25">
      <c r="A2" s="21"/>
      <c r="B2" s="3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4" t="s">
        <v>1</v>
      </c>
      <c r="B3" s="4"/>
      <c r="C3" s="26">
        <v>2</v>
      </c>
      <c r="D3" s="26">
        <v>2</v>
      </c>
      <c r="E3" s="26">
        <v>2</v>
      </c>
      <c r="F3" s="26">
        <v>2</v>
      </c>
      <c r="G3" s="26">
        <v>2</v>
      </c>
      <c r="H3" s="26">
        <v>2</v>
      </c>
      <c r="I3" s="26">
        <v>2</v>
      </c>
      <c r="J3" s="26">
        <v>2</v>
      </c>
      <c r="K3" s="26">
        <v>2</v>
      </c>
      <c r="L3" s="26">
        <v>2</v>
      </c>
      <c r="M3" s="26">
        <v>2</v>
      </c>
      <c r="N3" s="26">
        <v>2</v>
      </c>
      <c r="O3" s="26">
        <v>2</v>
      </c>
      <c r="P3" s="26">
        <v>2</v>
      </c>
    </row>
    <row r="4" spans="1:16" s="27" customFormat="1" x14ac:dyDescent="0.25">
      <c r="A4" s="5" t="s">
        <v>2</v>
      </c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7" customFormat="1" x14ac:dyDescent="0.25">
      <c r="A5" s="5" t="s">
        <v>3</v>
      </c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27" customFormat="1" x14ac:dyDescent="0.25">
      <c r="A6" s="5" t="s">
        <v>4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7" customFormat="1" x14ac:dyDescent="0.25">
      <c r="A7" s="5" t="s">
        <v>5</v>
      </c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27" customFormat="1" x14ac:dyDescent="0.25">
      <c r="A8" s="5" t="s">
        <v>6</v>
      </c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27" customFormat="1" x14ac:dyDescent="0.25">
      <c r="A9" s="5" t="s">
        <v>7</v>
      </c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s="27" customFormat="1" x14ac:dyDescent="0.25">
      <c r="A10" s="5" t="s">
        <v>8</v>
      </c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27" customFormat="1" x14ac:dyDescent="0.25">
      <c r="A11" s="5" t="s">
        <v>9</v>
      </c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27" customFormat="1" x14ac:dyDescent="0.25">
      <c r="A12" s="5" t="s">
        <v>10</v>
      </c>
      <c r="B12" s="5"/>
      <c r="C12" s="7">
        <v>0.4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27" customFormat="1" x14ac:dyDescent="0.25">
      <c r="A13" s="5" t="s">
        <v>11</v>
      </c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27" customFormat="1" x14ac:dyDescent="0.25">
      <c r="A14" s="5" t="s">
        <v>12</v>
      </c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s="27" customFormat="1" x14ac:dyDescent="0.25">
      <c r="A15" s="5" t="s">
        <v>13</v>
      </c>
      <c r="B15" s="5"/>
      <c r="C15" s="7"/>
      <c r="D15" s="7"/>
      <c r="E15" s="7">
        <v>0.2</v>
      </c>
      <c r="F15" s="7"/>
      <c r="G15" s="7"/>
      <c r="H15" s="7"/>
      <c r="I15" s="7"/>
      <c r="J15" s="7"/>
      <c r="K15" s="7">
        <v>2</v>
      </c>
      <c r="L15" s="7"/>
      <c r="M15" s="7"/>
      <c r="N15" s="7"/>
      <c r="O15" s="7"/>
      <c r="P15" s="7"/>
    </row>
    <row r="16" spans="1:16" s="27" customFormat="1" x14ac:dyDescent="0.25">
      <c r="A16" s="5" t="s">
        <v>14</v>
      </c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7" customFormat="1" x14ac:dyDescent="0.25">
      <c r="A17" s="5" t="s">
        <v>15</v>
      </c>
      <c r="B17" s="5"/>
      <c r="C17" s="7">
        <v>0.4</v>
      </c>
      <c r="D17" s="7"/>
      <c r="E17" s="7"/>
      <c r="F17" s="7"/>
      <c r="G17" s="7">
        <v>0.05</v>
      </c>
      <c r="H17" s="7"/>
      <c r="I17" s="7"/>
      <c r="J17" s="7"/>
      <c r="K17" s="7"/>
      <c r="L17" s="7"/>
      <c r="M17" s="7"/>
      <c r="N17" s="7"/>
      <c r="O17" s="7"/>
      <c r="P17" s="7"/>
    </row>
    <row r="18" spans="1:16" s="27" customFormat="1" x14ac:dyDescent="0.25">
      <c r="A18" s="5" t="s">
        <v>16</v>
      </c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s="27" customFormat="1" x14ac:dyDescent="0.25">
      <c r="A19" s="5" t="s">
        <v>17</v>
      </c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s="27" customFormat="1" x14ac:dyDescent="0.25">
      <c r="A20" s="5" t="s">
        <v>18</v>
      </c>
      <c r="B20" s="5"/>
      <c r="C20" s="7"/>
      <c r="D20" s="7"/>
      <c r="E20" s="7">
        <v>0.2</v>
      </c>
      <c r="F20" s="7"/>
      <c r="G20" s="7">
        <v>0.02</v>
      </c>
      <c r="H20" s="7"/>
      <c r="I20" s="7"/>
      <c r="J20" s="7"/>
      <c r="K20" s="7">
        <v>1.1000000000000001</v>
      </c>
      <c r="L20" s="7"/>
      <c r="M20" s="7"/>
      <c r="N20" s="7"/>
      <c r="O20" s="7"/>
      <c r="P20" s="7"/>
    </row>
    <row r="21" spans="1:16" s="27" customFormat="1" x14ac:dyDescent="0.25">
      <c r="A21" s="5" t="s">
        <v>19</v>
      </c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s="27" customFormat="1" x14ac:dyDescent="0.25">
      <c r="A22" s="5" t="s">
        <v>20</v>
      </c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27" customFormat="1" x14ac:dyDescent="0.25">
      <c r="A23" s="5" t="s">
        <v>21</v>
      </c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s="27" customFormat="1" x14ac:dyDescent="0.25">
      <c r="A24" s="5" t="s">
        <v>22</v>
      </c>
      <c r="B24" s="5"/>
      <c r="C24" s="7"/>
      <c r="D24" s="7">
        <v>1.1000000000000001E-3</v>
      </c>
      <c r="E24" s="28">
        <v>0.47699999999999998</v>
      </c>
      <c r="F24" s="7"/>
      <c r="G24" s="7"/>
      <c r="H24" s="7"/>
      <c r="I24" s="7"/>
      <c r="J24" s="7"/>
      <c r="K24" s="28">
        <v>0.95399999999999996</v>
      </c>
      <c r="L24" s="28">
        <v>9.5399999999999999E-2</v>
      </c>
      <c r="M24" s="7"/>
      <c r="N24" s="7"/>
      <c r="O24" s="7"/>
      <c r="P24" s="7"/>
    </row>
    <row r="25" spans="1:16" s="27" customFormat="1" x14ac:dyDescent="0.25">
      <c r="A25" s="5" t="s">
        <v>23</v>
      </c>
      <c r="B25" s="5"/>
      <c r="C25" s="7"/>
      <c r="D25" s="7">
        <v>2.0000000000000001E-4</v>
      </c>
      <c r="E25" s="28">
        <v>0.40229999999999999</v>
      </c>
      <c r="F25" s="7"/>
      <c r="G25" s="7">
        <v>0.04</v>
      </c>
      <c r="H25" s="7"/>
      <c r="I25" s="7"/>
      <c r="J25" s="7"/>
      <c r="K25" s="28">
        <v>4.4999999999999997E-3</v>
      </c>
      <c r="L25" s="28">
        <v>5.0000000000000001E-4</v>
      </c>
      <c r="M25" s="7"/>
      <c r="N25" s="7"/>
      <c r="O25" s="7"/>
      <c r="P25" s="7"/>
    </row>
    <row r="26" spans="1:16" s="27" customFormat="1" x14ac:dyDescent="0.25">
      <c r="A26" s="5" t="s">
        <v>24</v>
      </c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s="20" customFormat="1" x14ac:dyDescent="0.25">
      <c r="A27" s="22" t="s">
        <v>25</v>
      </c>
      <c r="B27" s="22"/>
      <c r="C27" s="18">
        <f>1</f>
        <v>1</v>
      </c>
      <c r="D27" s="18">
        <f>C27+1</f>
        <v>2</v>
      </c>
      <c r="E27" s="18">
        <f t="shared" ref="E27:P27" si="0">D27+1</f>
        <v>3</v>
      </c>
      <c r="F27" s="18">
        <f t="shared" si="0"/>
        <v>4</v>
      </c>
      <c r="G27" s="18">
        <f t="shared" si="0"/>
        <v>5</v>
      </c>
      <c r="H27" s="18">
        <f t="shared" si="0"/>
        <v>6</v>
      </c>
      <c r="I27" s="18">
        <f t="shared" si="0"/>
        <v>7</v>
      </c>
      <c r="J27" s="18">
        <f t="shared" si="0"/>
        <v>8</v>
      </c>
      <c r="K27" s="18">
        <f t="shared" si="0"/>
        <v>9</v>
      </c>
      <c r="L27" s="18">
        <f t="shared" si="0"/>
        <v>10</v>
      </c>
      <c r="M27" s="18">
        <f t="shared" si="0"/>
        <v>11</v>
      </c>
      <c r="N27" s="18">
        <f t="shared" si="0"/>
        <v>12</v>
      </c>
      <c r="O27" s="18">
        <f t="shared" si="0"/>
        <v>13</v>
      </c>
      <c r="P27" s="18">
        <f t="shared" si="0"/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C445-E975-41BA-926A-25629D4B6FCF}">
  <sheetPr codeName="Sheet4"/>
  <dimension ref="A1:A3"/>
  <sheetViews>
    <sheetView workbookViewId="0">
      <selection sqref="A1:A3"/>
    </sheetView>
  </sheetViews>
  <sheetFormatPr defaultRowHeight="15" x14ac:dyDescent="0.25"/>
  <cols>
    <col min="1" max="1" width="22.85546875" customWidth="1"/>
  </cols>
  <sheetData>
    <row r="1" spans="1:1" ht="35.25" thickBot="1" x14ac:dyDescent="0.3">
      <c r="A1" s="10" t="s">
        <v>62</v>
      </c>
    </row>
    <row r="2" spans="1:1" ht="35.25" thickBot="1" x14ac:dyDescent="0.3">
      <c r="A2" s="13" t="s">
        <v>63</v>
      </c>
    </row>
    <row r="3" spans="1:1" ht="69.75" thickBot="1" x14ac:dyDescent="0.3">
      <c r="A3" s="13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1146-3E3D-4B1A-AB7B-FF2601F386E6}">
  <sheetPr codeName="Sheet5"/>
  <dimension ref="A1:B8"/>
  <sheetViews>
    <sheetView workbookViewId="0">
      <selection activeCell="B3" sqref="B3:B7"/>
    </sheetView>
  </sheetViews>
  <sheetFormatPr defaultRowHeight="15" x14ac:dyDescent="0.25"/>
  <cols>
    <col min="1" max="1" width="17.85546875" bestFit="1" customWidth="1"/>
    <col min="2" max="2" width="10" customWidth="1"/>
  </cols>
  <sheetData>
    <row r="1" spans="1:2" x14ac:dyDescent="0.25">
      <c r="A1" s="17" t="s">
        <v>41</v>
      </c>
      <c r="B1" s="18" t="s">
        <v>42</v>
      </c>
    </row>
    <row r="2" spans="1:2" x14ac:dyDescent="0.25">
      <c r="A2" s="17" t="s">
        <v>0</v>
      </c>
      <c r="B2" s="17"/>
    </row>
    <row r="3" spans="1:2" ht="45" x14ac:dyDescent="0.25">
      <c r="A3" s="17" t="s">
        <v>43</v>
      </c>
      <c r="B3" s="6" t="s">
        <v>44</v>
      </c>
    </row>
    <row r="4" spans="1:2" ht="45" x14ac:dyDescent="0.25">
      <c r="A4" s="17" t="s">
        <v>45</v>
      </c>
      <c r="B4" s="6" t="s">
        <v>44</v>
      </c>
    </row>
    <row r="5" spans="1:2" s="19" customFormat="1" ht="30" x14ac:dyDescent="0.25">
      <c r="A5" s="6" t="s">
        <v>46</v>
      </c>
      <c r="B5" s="6" t="s">
        <v>69</v>
      </c>
    </row>
    <row r="6" spans="1:2" s="19" customFormat="1" ht="30" x14ac:dyDescent="0.25">
      <c r="A6" s="6" t="s">
        <v>47</v>
      </c>
      <c r="B6" s="6" t="s">
        <v>70</v>
      </c>
    </row>
    <row r="7" spans="1:2" s="19" customFormat="1" ht="30" x14ac:dyDescent="0.25">
      <c r="A7" s="6" t="s">
        <v>48</v>
      </c>
      <c r="B7" s="6" t="s">
        <v>70</v>
      </c>
    </row>
    <row r="8" spans="1:2" s="19" customFormat="1" x14ac:dyDescent="0.25">
      <c r="A8" s="6" t="s">
        <v>0</v>
      </c>
      <c r="B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CF43-8328-4FD7-BCBC-21D1F4E92253}">
  <sheetPr codeName="Sheet7"/>
  <dimension ref="A1:L5"/>
  <sheetViews>
    <sheetView workbookViewId="0">
      <selection activeCell="E5" sqref="E5"/>
    </sheetView>
  </sheetViews>
  <sheetFormatPr defaultRowHeight="15" x14ac:dyDescent="0.25"/>
  <sheetData>
    <row r="1" spans="1:12" ht="87" thickBot="1" x14ac:dyDescent="0.3">
      <c r="A1" s="10" t="s">
        <v>28</v>
      </c>
      <c r="B1" s="11" t="s">
        <v>29</v>
      </c>
      <c r="C1" s="11" t="s">
        <v>30</v>
      </c>
      <c r="D1" s="12" t="s">
        <v>31</v>
      </c>
      <c r="E1" s="12">
        <v>100</v>
      </c>
      <c r="F1" s="12" t="s">
        <v>32</v>
      </c>
      <c r="L1" s="10" t="s">
        <v>28</v>
      </c>
    </row>
    <row r="2" spans="1:12" ht="87" thickBot="1" x14ac:dyDescent="0.3">
      <c r="A2" s="13" t="s">
        <v>33</v>
      </c>
      <c r="B2" s="14" t="s">
        <v>29</v>
      </c>
      <c r="C2" s="14" t="s">
        <v>34</v>
      </c>
      <c r="D2" s="15" t="s">
        <v>31</v>
      </c>
      <c r="E2" s="15">
        <v>100</v>
      </c>
      <c r="F2" s="15" t="s">
        <v>32</v>
      </c>
      <c r="L2" s="13" t="s">
        <v>33</v>
      </c>
    </row>
    <row r="3" spans="1:12" ht="87" thickBot="1" x14ac:dyDescent="0.3">
      <c r="A3" s="16" t="s">
        <v>35</v>
      </c>
      <c r="B3" s="16" t="s">
        <v>29</v>
      </c>
      <c r="C3" s="14" t="s">
        <v>36</v>
      </c>
      <c r="D3" s="16" t="s">
        <v>31</v>
      </c>
      <c r="E3" s="15" t="s">
        <v>37</v>
      </c>
      <c r="F3" s="15" t="s">
        <v>38</v>
      </c>
      <c r="L3" s="16" t="s">
        <v>35</v>
      </c>
    </row>
    <row r="4" spans="1:12" ht="69.75" thickBot="1" x14ac:dyDescent="0.3">
      <c r="A4" s="16" t="s">
        <v>35</v>
      </c>
      <c r="B4" s="16" t="s">
        <v>29</v>
      </c>
      <c r="C4" s="14" t="s">
        <v>39</v>
      </c>
      <c r="D4" s="13"/>
      <c r="E4" s="15" t="s">
        <v>37</v>
      </c>
      <c r="F4" s="15" t="s">
        <v>38</v>
      </c>
      <c r="L4" s="13"/>
    </row>
    <row r="5" spans="1:12" ht="34.5" x14ac:dyDescent="0.25">
      <c r="C5" s="34" t="s">
        <v>96</v>
      </c>
      <c r="E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Recipe</vt:lpstr>
      <vt:lpstr>INCI Helper</vt:lpstr>
      <vt:lpstr>Aroma</vt:lpstr>
      <vt:lpstr>Waxes</vt:lpstr>
      <vt:lpstr>Mica</vt:lpstr>
      <vt:lpstr>Butters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Turnham</cp:lastModifiedBy>
  <dcterms:created xsi:type="dcterms:W3CDTF">2022-11-14T12:28:26Z</dcterms:created>
  <dcterms:modified xsi:type="dcterms:W3CDTF">2023-04-02T17:51:05Z</dcterms:modified>
</cp:coreProperties>
</file>